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aciendacr-my.sharepoint.com/personal/rojasmk_hacienda_go_cr/Documents/Escritorio/"/>
    </mc:Choice>
  </mc:AlternateContent>
  <xr:revisionPtr revIDLastSave="21" documentId="8_{8DB58BCB-1A95-4179-9592-4117AC1BDAFD}" xr6:coauthVersionLast="47" xr6:coauthVersionMax="47" xr10:uidLastSave="{5F982F2F-659A-49A6-8929-1613090C75C3}"/>
  <bookViews>
    <workbookView xWindow="-108" yWindow="-108" windowWidth="23256" windowHeight="12456" activeTab="1" xr2:uid="{00000000-000D-0000-FFFF-FFFF00000000}"/>
  </bookViews>
  <sheets>
    <sheet name="Tenencia deuda bonificada GC ¢" sheetId="1" r:id="rId1"/>
    <sheet name="Tenencia deuda bonificada GC $" sheetId="3" r:id="rId2"/>
  </sheets>
  <externalReferences>
    <externalReference r:id="rId3"/>
  </externalReferences>
  <definedNames>
    <definedName name="_xlnm.Print_Area" localSheetId="1">'Tenencia deuda bonificada GC $'!$B$1:$E$59</definedName>
    <definedName name="_xlnm.Print_Area" localSheetId="0">'Tenencia deuda bonificada GC ¢'!$B$1:$E$59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K51" i="3" l="1"/>
  <c r="CK50" i="3"/>
  <c r="CK49" i="3"/>
  <c r="CK48" i="3"/>
  <c r="CK46" i="3"/>
  <c r="CK45" i="3"/>
  <c r="CK43" i="3"/>
  <c r="CK36" i="3"/>
  <c r="CK34" i="3"/>
  <c r="CK32" i="3"/>
  <c r="CK30" i="3"/>
  <c r="CK28" i="3"/>
  <c r="CK26" i="3"/>
  <c r="CK25" i="3"/>
  <c r="CK24" i="3"/>
  <c r="CK23" i="3"/>
  <c r="CK21" i="3"/>
  <c r="CK20" i="3"/>
  <c r="CK19" i="3"/>
  <c r="CK18" i="3"/>
  <c r="CK16" i="3"/>
  <c r="CK15" i="3"/>
  <c r="CK13" i="3"/>
  <c r="CK12" i="3"/>
  <c r="CK48" i="1"/>
  <c r="CK49" i="1"/>
  <c r="CK50" i="1"/>
  <c r="CK51" i="1"/>
  <c r="CK36" i="1"/>
  <c r="CK34" i="1"/>
  <c r="CK32" i="1"/>
  <c r="CK30" i="1"/>
  <c r="CK28" i="1"/>
  <c r="CK26" i="1"/>
  <c r="CK24" i="1"/>
  <c r="CK23" i="1"/>
  <c r="CK21" i="1"/>
  <c r="CK20" i="1"/>
  <c r="CK19" i="1"/>
  <c r="CK18" i="1"/>
  <c r="CK16" i="1"/>
  <c r="CK15" i="1"/>
  <c r="CK13" i="1"/>
  <c r="CK12" i="1"/>
  <c r="CL23" i="1"/>
  <c r="CL16" i="1"/>
  <c r="CL12" i="1"/>
  <c r="CJ38" i="1"/>
  <c r="CJ55" i="1"/>
  <c r="CJ39" i="1"/>
  <c r="CJ54" i="1"/>
  <c r="CJ30" i="1"/>
  <c r="CJ30" i="3" l="1"/>
  <c r="CL30" i="3" s="1"/>
  <c r="CL51" i="3"/>
  <c r="CL50" i="3"/>
  <c r="CL49" i="3"/>
  <c r="CJ48" i="3"/>
  <c r="CL48" i="3" s="1"/>
  <c r="CL46" i="3"/>
  <c r="CL45" i="3"/>
  <c r="CJ43" i="3"/>
  <c r="CL43" i="3" s="1"/>
  <c r="CL36" i="3"/>
  <c r="CL34" i="3"/>
  <c r="CL32" i="3"/>
  <c r="CL28" i="3"/>
  <c r="CL26" i="3"/>
  <c r="CL24" i="3"/>
  <c r="CJ23" i="3"/>
  <c r="CL23" i="3" s="1"/>
  <c r="CL21" i="3"/>
  <c r="CL20" i="3"/>
  <c r="CL19" i="3"/>
  <c r="CL18" i="3"/>
  <c r="CJ18" i="3"/>
  <c r="CL16" i="3"/>
  <c r="CL15" i="3"/>
  <c r="CJ13" i="3"/>
  <c r="CL13" i="3" s="1"/>
  <c r="CL51" i="1"/>
  <c r="CL50" i="1"/>
  <c r="CL49" i="1"/>
  <c r="CJ48" i="1"/>
  <c r="CL46" i="1"/>
  <c r="CL45" i="1"/>
  <c r="CJ43" i="1"/>
  <c r="CK46" i="1" s="1"/>
  <c r="CL36" i="1"/>
  <c r="CL34" i="1"/>
  <c r="CL32" i="1"/>
  <c r="CL28" i="1"/>
  <c r="CL26" i="1"/>
  <c r="CL24" i="1"/>
  <c r="CJ23" i="1"/>
  <c r="CL21" i="1"/>
  <c r="CL20" i="1"/>
  <c r="CL19" i="1"/>
  <c r="CJ18" i="1"/>
  <c r="CL15" i="1"/>
  <c r="CJ13" i="1"/>
  <c r="CG30" i="3"/>
  <c r="CJ12" i="1" l="1"/>
  <c r="CK45" i="1"/>
  <c r="CJ12" i="3"/>
  <c r="CJ38" i="3" s="1"/>
  <c r="CL38" i="3" s="1"/>
  <c r="CJ54" i="3"/>
  <c r="CK43" i="1"/>
  <c r="CG30" i="1"/>
  <c r="CL30" i="1" s="1"/>
  <c r="CL12" i="3" l="1"/>
  <c r="CJ56" i="3"/>
  <c r="CK54" i="3" s="1"/>
  <c r="CL54" i="3"/>
  <c r="CJ56" i="1"/>
  <c r="CH25" i="3"/>
  <c r="CI51" i="3"/>
  <c r="CI50" i="3"/>
  <c r="CI49" i="3"/>
  <c r="CG48" i="3"/>
  <c r="CI48" i="3" s="1"/>
  <c r="CI46" i="3"/>
  <c r="CI45" i="3"/>
  <c r="CG43" i="3"/>
  <c r="CI43" i="3" s="1"/>
  <c r="CI36" i="3"/>
  <c r="CI34" i="3"/>
  <c r="CI32" i="3"/>
  <c r="CI30" i="3"/>
  <c r="CI28" i="3"/>
  <c r="CI26" i="3"/>
  <c r="CI24" i="3"/>
  <c r="CG23" i="3"/>
  <c r="CH24" i="3" s="1"/>
  <c r="CI21" i="3"/>
  <c r="CI20" i="3"/>
  <c r="CI19" i="3"/>
  <c r="CG18" i="3"/>
  <c r="CI18" i="3" s="1"/>
  <c r="CI16" i="3"/>
  <c r="CI15" i="3"/>
  <c r="CG13" i="3"/>
  <c r="CG12" i="3"/>
  <c r="CG38" i="3" s="1"/>
  <c r="CH36" i="3" s="1"/>
  <c r="CI51" i="1"/>
  <c r="CI50" i="1"/>
  <c r="CI49" i="1"/>
  <c r="CG48" i="1"/>
  <c r="CI46" i="1"/>
  <c r="CI45" i="1"/>
  <c r="CG43" i="1"/>
  <c r="CI36" i="1"/>
  <c r="CI34" i="1"/>
  <c r="CI32" i="1"/>
  <c r="CI28" i="1"/>
  <c r="CI26" i="1"/>
  <c r="CI24" i="1"/>
  <c r="CG23" i="1"/>
  <c r="CI21" i="1"/>
  <c r="CI20" i="1"/>
  <c r="CI19" i="1"/>
  <c r="CG18" i="1"/>
  <c r="CH21" i="1" s="1"/>
  <c r="CI16" i="1"/>
  <c r="CI15" i="1"/>
  <c r="CG13" i="1"/>
  <c r="CE54" i="3"/>
  <c r="CE51" i="3"/>
  <c r="CE50" i="3"/>
  <c r="CE49" i="3"/>
  <c r="CE48" i="3"/>
  <c r="CE46" i="3"/>
  <c r="CE45" i="3"/>
  <c r="CE34" i="3"/>
  <c r="CE30" i="3"/>
  <c r="CE26" i="3"/>
  <c r="CE21" i="3"/>
  <c r="CE19" i="3"/>
  <c r="CE15" i="3"/>
  <c r="CE13" i="3"/>
  <c r="CE12" i="3"/>
  <c r="CF48" i="3"/>
  <c r="CF13" i="3"/>
  <c r="CF12" i="3"/>
  <c r="CC12" i="3"/>
  <c r="CE43" i="3"/>
  <c r="CE36" i="3"/>
  <c r="CE32" i="3"/>
  <c r="CE28" i="3"/>
  <c r="CE25" i="3"/>
  <c r="CE24" i="3"/>
  <c r="CE23" i="3"/>
  <c r="CE20" i="3"/>
  <c r="CE18" i="3"/>
  <c r="CE16" i="3"/>
  <c r="CH24" i="1" l="1"/>
  <c r="CH45" i="1"/>
  <c r="CL43" i="1"/>
  <c r="CL13" i="1"/>
  <c r="CH19" i="1"/>
  <c r="CL18" i="1"/>
  <c r="CL48" i="1"/>
  <c r="CH46" i="1"/>
  <c r="CH20" i="1"/>
  <c r="CL56" i="3"/>
  <c r="CK38" i="3"/>
  <c r="CK56" i="3" s="1"/>
  <c r="CK54" i="1"/>
  <c r="CK38" i="1"/>
  <c r="CH49" i="3"/>
  <c r="CH50" i="3"/>
  <c r="CH51" i="3"/>
  <c r="CH45" i="3"/>
  <c r="CH46" i="3"/>
  <c r="CI23" i="3"/>
  <c r="CH26" i="3"/>
  <c r="CH21" i="3"/>
  <c r="CH13" i="3"/>
  <c r="CH19" i="3"/>
  <c r="CH20" i="3"/>
  <c r="CH15" i="3"/>
  <c r="CH16" i="3"/>
  <c r="CH18" i="3"/>
  <c r="CH28" i="3"/>
  <c r="CH30" i="3"/>
  <c r="CI13" i="3"/>
  <c r="CH32" i="3"/>
  <c r="CH34" i="3"/>
  <c r="CH12" i="3"/>
  <c r="CH23" i="3"/>
  <c r="CH49" i="1"/>
  <c r="CH50" i="1"/>
  <c r="CH51" i="1"/>
  <c r="CH26" i="1"/>
  <c r="CG12" i="1"/>
  <c r="CH15" i="1"/>
  <c r="CH16" i="1"/>
  <c r="CI38" i="3"/>
  <c r="CG54" i="3"/>
  <c r="CI12" i="3"/>
  <c r="CG54" i="1"/>
  <c r="CF26" i="1"/>
  <c r="CF24" i="1"/>
  <c r="CF21" i="1"/>
  <c r="CF20" i="1"/>
  <c r="CF19" i="1"/>
  <c r="CF16" i="1"/>
  <c r="CF15" i="1"/>
  <c r="CF28" i="1"/>
  <c r="CF32" i="1"/>
  <c r="CF34" i="1"/>
  <c r="CF36" i="1"/>
  <c r="CF45" i="1"/>
  <c r="CF46" i="1"/>
  <c r="CF49" i="1"/>
  <c r="CF50" i="1"/>
  <c r="CF51" i="1"/>
  <c r="CC15" i="1"/>
  <c r="CD30" i="1"/>
  <c r="CD30" i="3"/>
  <c r="CK56" i="1" l="1"/>
  <c r="CI30" i="1"/>
  <c r="CH48" i="1"/>
  <c r="CL54" i="1"/>
  <c r="CH18" i="1"/>
  <c r="CH43" i="3"/>
  <c r="CH48" i="3"/>
  <c r="CH43" i="1"/>
  <c r="CG38" i="1"/>
  <c r="CH13" i="1"/>
  <c r="CH23" i="1"/>
  <c r="CG56" i="3"/>
  <c r="CI54" i="3"/>
  <c r="CD48" i="1"/>
  <c r="CD43" i="1"/>
  <c r="CD23" i="1"/>
  <c r="CD18" i="1"/>
  <c r="CD13" i="1"/>
  <c r="CE26" i="1" l="1"/>
  <c r="CI23" i="1"/>
  <c r="CE24" i="1"/>
  <c r="CE46" i="1"/>
  <c r="CE45" i="1"/>
  <c r="CI43" i="1"/>
  <c r="CD54" i="1"/>
  <c r="CE43" i="1" s="1"/>
  <c r="CE51" i="1"/>
  <c r="CE50" i="1"/>
  <c r="CE49" i="1"/>
  <c r="CI48" i="1"/>
  <c r="CH32" i="1"/>
  <c r="CL38" i="1"/>
  <c r="CE15" i="1"/>
  <c r="CI13" i="1"/>
  <c r="CE16" i="1"/>
  <c r="CE19" i="1"/>
  <c r="CE20" i="1"/>
  <c r="CE21" i="1"/>
  <c r="CI18" i="1"/>
  <c r="CH30" i="1"/>
  <c r="CH36" i="1"/>
  <c r="CH34" i="1"/>
  <c r="CH28" i="1"/>
  <c r="CG56" i="1"/>
  <c r="CH12" i="1"/>
  <c r="CI56" i="3"/>
  <c r="CH38" i="3"/>
  <c r="CH54" i="3"/>
  <c r="CD12" i="1"/>
  <c r="CE48" i="1" l="1"/>
  <c r="CD38" i="1"/>
  <c r="CE12" i="1" s="1"/>
  <c r="CI12" i="1"/>
  <c r="CE18" i="1"/>
  <c r="CI54" i="1"/>
  <c r="CL56" i="1"/>
  <c r="CE13" i="1"/>
  <c r="CE23" i="1"/>
  <c r="CH56" i="3"/>
  <c r="CH38" i="1"/>
  <c r="CH54" i="1"/>
  <c r="CD56" i="1" l="1"/>
  <c r="CE32" i="1"/>
  <c r="CE34" i="1"/>
  <c r="CE36" i="1"/>
  <c r="CE28" i="1"/>
  <c r="CE30" i="1"/>
  <c r="CI38" i="1"/>
  <c r="CH56" i="1"/>
  <c r="CD57" i="1" l="1"/>
  <c r="CI56" i="1"/>
  <c r="CE38" i="1"/>
  <c r="CE54" i="1"/>
  <c r="CF51" i="3"/>
  <c r="CF50" i="3"/>
  <c r="CF49" i="3"/>
  <c r="CD48" i="3"/>
  <c r="CF46" i="3"/>
  <c r="CF45" i="3"/>
  <c r="CD43" i="3"/>
  <c r="CF43" i="3" s="1"/>
  <c r="CF36" i="3"/>
  <c r="CF34" i="3"/>
  <c r="CF32" i="3"/>
  <c r="CF30" i="3"/>
  <c r="CF28" i="3"/>
  <c r="CF26" i="3"/>
  <c r="CF24" i="3"/>
  <c r="CD23" i="3"/>
  <c r="CF23" i="3" s="1"/>
  <c r="CF21" i="3"/>
  <c r="CF20" i="3"/>
  <c r="CF19" i="3"/>
  <c r="CD18" i="3"/>
  <c r="CF18" i="3" s="1"/>
  <c r="CF16" i="3"/>
  <c r="CF15" i="3"/>
  <c r="CD13" i="3"/>
  <c r="CC46" i="3"/>
  <c r="CC45" i="3"/>
  <c r="CB30" i="3"/>
  <c r="CB16" i="3"/>
  <c r="CB12" i="3"/>
  <c r="CE56" i="1" l="1"/>
  <c r="CD12" i="3"/>
  <c r="CD54" i="3"/>
  <c r="CC46" i="1"/>
  <c r="CC21" i="1"/>
  <c r="CD38" i="3" l="1"/>
  <c r="CF38" i="3" s="1"/>
  <c r="CF54" i="3"/>
  <c r="CB51" i="3"/>
  <c r="CB50" i="3"/>
  <c r="CB49" i="3"/>
  <c r="CB48" i="3"/>
  <c r="CB46" i="3"/>
  <c r="CB45" i="3"/>
  <c r="CB43" i="3"/>
  <c r="CB38" i="3"/>
  <c r="CB36" i="3"/>
  <c r="CB34" i="3"/>
  <c r="CB32" i="3"/>
  <c r="CB28" i="3"/>
  <c r="CB26" i="3"/>
  <c r="CB25" i="3"/>
  <c r="CB24" i="3"/>
  <c r="CB23" i="3"/>
  <c r="CB21" i="3"/>
  <c r="CB20" i="3"/>
  <c r="CB19" i="3"/>
  <c r="CB18" i="3"/>
  <c r="CB15" i="3"/>
  <c r="CB13" i="3"/>
  <c r="CC50" i="1"/>
  <c r="CA30" i="3"/>
  <c r="CD56" i="3" l="1"/>
  <c r="CF56" i="3" s="1"/>
  <c r="CA30" i="1"/>
  <c r="CC51" i="1"/>
  <c r="CC49" i="1"/>
  <c r="CA48" i="1"/>
  <c r="CC45" i="1"/>
  <c r="CA43" i="1"/>
  <c r="CC36" i="1"/>
  <c r="CC34" i="1"/>
  <c r="CC32" i="1"/>
  <c r="CC28" i="1"/>
  <c r="CC26" i="1"/>
  <c r="CC24" i="1"/>
  <c r="CA23" i="1"/>
  <c r="CC20" i="1"/>
  <c r="CC19" i="1"/>
  <c r="CA18" i="1"/>
  <c r="CC16" i="1"/>
  <c r="CA13" i="1"/>
  <c r="CC51" i="3"/>
  <c r="CC50" i="3"/>
  <c r="CC49" i="3"/>
  <c r="CA48" i="3"/>
  <c r="CA43" i="3"/>
  <c r="CC36" i="3"/>
  <c r="CC34" i="3"/>
  <c r="CC32" i="3"/>
  <c r="CC28" i="3"/>
  <c r="CC26" i="3"/>
  <c r="CC24" i="3"/>
  <c r="CA23" i="3"/>
  <c r="CC21" i="3"/>
  <c r="CC20" i="3"/>
  <c r="CC19" i="3"/>
  <c r="CA18" i="3"/>
  <c r="CC16" i="3"/>
  <c r="CC15" i="3"/>
  <c r="CA13" i="3"/>
  <c r="CC13" i="3" s="1"/>
  <c r="BY51" i="1"/>
  <c r="BY45" i="3"/>
  <c r="BY25" i="3"/>
  <c r="BY24" i="3"/>
  <c r="BY15" i="3"/>
  <c r="BX30" i="3"/>
  <c r="CC30" i="3" s="1"/>
  <c r="BX30" i="1"/>
  <c r="BZ51" i="3"/>
  <c r="BZ50" i="3"/>
  <c r="BZ49" i="3"/>
  <c r="BX48" i="3"/>
  <c r="BZ46" i="3"/>
  <c r="BZ45" i="3"/>
  <c r="BX43" i="3"/>
  <c r="BZ36" i="3"/>
  <c r="BZ34" i="3"/>
  <c r="BZ32" i="3"/>
  <c r="BZ28" i="3"/>
  <c r="BZ26" i="3"/>
  <c r="BZ24" i="3"/>
  <c r="BX23" i="3"/>
  <c r="BZ21" i="3"/>
  <c r="BZ20" i="3"/>
  <c r="BZ19" i="3"/>
  <c r="BX18" i="3"/>
  <c r="BZ16" i="3"/>
  <c r="BZ15" i="3"/>
  <c r="BX13" i="3"/>
  <c r="BZ51" i="1"/>
  <c r="BZ50" i="1"/>
  <c r="BZ49" i="1"/>
  <c r="BX48" i="1"/>
  <c r="BX54" i="1" s="1"/>
  <c r="BZ46" i="1"/>
  <c r="BZ45" i="1"/>
  <c r="BX43" i="1"/>
  <c r="BY46" i="1" s="1"/>
  <c r="BZ36" i="1"/>
  <c r="BZ34" i="1"/>
  <c r="BZ32" i="1"/>
  <c r="BZ28" i="1"/>
  <c r="BZ26" i="1"/>
  <c r="BZ24" i="1"/>
  <c r="BX23" i="1"/>
  <c r="BY25" i="1" s="1"/>
  <c r="BZ21" i="1"/>
  <c r="BZ20" i="1"/>
  <c r="BZ19" i="1"/>
  <c r="BX18" i="1"/>
  <c r="BY19" i="1" s="1"/>
  <c r="BZ16" i="1"/>
  <c r="BZ15" i="1"/>
  <c r="BX13" i="1"/>
  <c r="BY15" i="1" s="1"/>
  <c r="BY48" i="1" l="1"/>
  <c r="CF43" i="1"/>
  <c r="CB45" i="1"/>
  <c r="CC43" i="1"/>
  <c r="CB46" i="1"/>
  <c r="CF48" i="1"/>
  <c r="CB48" i="1"/>
  <c r="CB51" i="1"/>
  <c r="CB50" i="1"/>
  <c r="CB49" i="1"/>
  <c r="CF23" i="1"/>
  <c r="CB26" i="1"/>
  <c r="CB24" i="1"/>
  <c r="CB15" i="1"/>
  <c r="CF13" i="1"/>
  <c r="CB16" i="1"/>
  <c r="BY16" i="1"/>
  <c r="CF30" i="1"/>
  <c r="BY26" i="1"/>
  <c r="CF18" i="1"/>
  <c r="CB21" i="1"/>
  <c r="CB20" i="1"/>
  <c r="CC18" i="1"/>
  <c r="CB19" i="1"/>
  <c r="CE38" i="3"/>
  <c r="CC48" i="1"/>
  <c r="BY20" i="1"/>
  <c r="BY21" i="1"/>
  <c r="BY24" i="1"/>
  <c r="BY49" i="1"/>
  <c r="BY50" i="1"/>
  <c r="CC30" i="1"/>
  <c r="BY23" i="3"/>
  <c r="BY16" i="3"/>
  <c r="BY26" i="3"/>
  <c r="BY46" i="3"/>
  <c r="BY18" i="3"/>
  <c r="BY19" i="3"/>
  <c r="BY49" i="3"/>
  <c r="CC43" i="3"/>
  <c r="BY20" i="3"/>
  <c r="BY50" i="3"/>
  <c r="CC23" i="3"/>
  <c r="BY21" i="3"/>
  <c r="BY51" i="3"/>
  <c r="CC48" i="3"/>
  <c r="CA54" i="3"/>
  <c r="CA12" i="1"/>
  <c r="CC23" i="1"/>
  <c r="CC13" i="1"/>
  <c r="CA54" i="1"/>
  <c r="CB43" i="1" s="1"/>
  <c r="CC54" i="3"/>
  <c r="CC18" i="3"/>
  <c r="CA12" i="3"/>
  <c r="BX54" i="3"/>
  <c r="BY43" i="3" s="1"/>
  <c r="BX12" i="3"/>
  <c r="BX12" i="1"/>
  <c r="BY18" i="1" s="1"/>
  <c r="BY43" i="1"/>
  <c r="BY45" i="1"/>
  <c r="BU30" i="1"/>
  <c r="BZ30" i="1" s="1"/>
  <c r="BW50" i="3"/>
  <c r="BW46" i="3"/>
  <c r="BW36" i="3"/>
  <c r="BW32" i="3"/>
  <c r="BW24" i="3"/>
  <c r="BW16" i="3"/>
  <c r="CA38" i="1" l="1"/>
  <c r="CB12" i="1" s="1"/>
  <c r="CF12" i="1"/>
  <c r="CC12" i="1"/>
  <c r="BY13" i="1"/>
  <c r="CB23" i="1"/>
  <c r="CF54" i="1"/>
  <c r="CB54" i="1"/>
  <c r="CB18" i="1"/>
  <c r="CB13" i="1"/>
  <c r="CE56" i="3"/>
  <c r="BX38" i="1"/>
  <c r="BY12" i="1" s="1"/>
  <c r="CC38" i="1"/>
  <c r="BY23" i="1"/>
  <c r="BX38" i="3"/>
  <c r="BY12" i="3"/>
  <c r="BY48" i="3"/>
  <c r="CA56" i="1"/>
  <c r="CF56" i="1" s="1"/>
  <c r="CC54" i="1"/>
  <c r="CA38" i="3"/>
  <c r="BX56" i="3"/>
  <c r="BY38" i="3"/>
  <c r="BW49" i="1"/>
  <c r="BW32" i="1"/>
  <c r="BW28" i="1"/>
  <c r="CF38" i="1" l="1"/>
  <c r="CB36" i="1"/>
  <c r="CB34" i="1"/>
  <c r="CB38" i="1"/>
  <c r="CB32" i="1"/>
  <c r="CB28" i="1"/>
  <c r="CB30" i="1"/>
  <c r="BX56" i="1"/>
  <c r="CC56" i="1" s="1"/>
  <c r="BY28" i="1"/>
  <c r="BY36" i="1"/>
  <c r="BY30" i="1"/>
  <c r="BY34" i="1"/>
  <c r="BY32" i="1"/>
  <c r="BY36" i="3"/>
  <c r="BY34" i="3"/>
  <c r="BY32" i="3"/>
  <c r="BY28" i="3"/>
  <c r="BY13" i="3"/>
  <c r="BY30" i="3"/>
  <c r="CC38" i="3"/>
  <c r="CA56" i="3"/>
  <c r="BX58" i="3"/>
  <c r="BX59" i="3" s="1"/>
  <c r="BY54" i="3"/>
  <c r="BY56" i="3" s="1"/>
  <c r="BU30" i="3"/>
  <c r="BZ30" i="3" s="1"/>
  <c r="BX58" i="1" l="1"/>
  <c r="BX59" i="1" s="1"/>
  <c r="BY54" i="1"/>
  <c r="BY38" i="1"/>
  <c r="BY56" i="1" s="1"/>
  <c r="CB56" i="1"/>
  <c r="CC56" i="3"/>
  <c r="CB54" i="3"/>
  <c r="BW51" i="1"/>
  <c r="BW50" i="1"/>
  <c r="BU48" i="1"/>
  <c r="BW46" i="1"/>
  <c r="BW45" i="1"/>
  <c r="BU43" i="1"/>
  <c r="BW36" i="1"/>
  <c r="BW34" i="1"/>
  <c r="BW26" i="1"/>
  <c r="BW24" i="1"/>
  <c r="BU23" i="1"/>
  <c r="BW21" i="1"/>
  <c r="BW20" i="1"/>
  <c r="BW19" i="1"/>
  <c r="BU18" i="1"/>
  <c r="BW16" i="1"/>
  <c r="BW15" i="1"/>
  <c r="BU13" i="1"/>
  <c r="CB56" i="3" l="1"/>
  <c r="BZ23" i="1"/>
  <c r="BV24" i="1"/>
  <c r="BV26" i="1"/>
  <c r="BV25" i="1"/>
  <c r="BZ13" i="1"/>
  <c r="BV16" i="1"/>
  <c r="BV15" i="1"/>
  <c r="BU54" i="1"/>
  <c r="BV48" i="1" s="1"/>
  <c r="BZ48" i="1"/>
  <c r="BV50" i="1"/>
  <c r="BV49" i="1"/>
  <c r="BV51" i="1"/>
  <c r="BZ18" i="1"/>
  <c r="BV20" i="1"/>
  <c r="BV19" i="1"/>
  <c r="BV21" i="1"/>
  <c r="BZ43" i="1"/>
  <c r="BV46" i="1"/>
  <c r="BV45" i="1"/>
  <c r="BU12" i="1"/>
  <c r="BZ12" i="1" l="1"/>
  <c r="BV18" i="1"/>
  <c r="BV13" i="1"/>
  <c r="BV23" i="1"/>
  <c r="BZ54" i="1"/>
  <c r="BV43" i="1"/>
  <c r="BU38" i="1"/>
  <c r="BZ38" i="1" l="1"/>
  <c r="BV36" i="1"/>
  <c r="BV12" i="1"/>
  <c r="BV34" i="1"/>
  <c r="BV32" i="1"/>
  <c r="BV30" i="1"/>
  <c r="BV28" i="1"/>
  <c r="BU56" i="1"/>
  <c r="BV54" i="1" l="1"/>
  <c r="BU58" i="1"/>
  <c r="BZ56" i="1"/>
  <c r="BV38" i="1"/>
  <c r="BV56" i="1" l="1"/>
  <c r="BW51" i="3" l="1"/>
  <c r="BW49" i="3"/>
  <c r="BU48" i="3"/>
  <c r="BW45" i="3"/>
  <c r="BU43" i="3"/>
  <c r="BW34" i="3"/>
  <c r="BW28" i="3"/>
  <c r="BW26" i="3"/>
  <c r="BU23" i="3"/>
  <c r="BW21" i="3"/>
  <c r="BW20" i="3"/>
  <c r="BW19" i="3"/>
  <c r="BU18" i="3"/>
  <c r="BW15" i="3"/>
  <c r="BU13" i="3"/>
  <c r="BU12" i="3"/>
  <c r="BZ12" i="3" l="1"/>
  <c r="BZ18" i="3"/>
  <c r="BV21" i="3"/>
  <c r="BV20" i="3"/>
  <c r="BV19" i="3"/>
  <c r="BV18" i="3"/>
  <c r="BV46" i="3"/>
  <c r="BV45" i="3"/>
  <c r="BZ43" i="3"/>
  <c r="BZ48" i="3"/>
  <c r="BZ13" i="3"/>
  <c r="BV16" i="3"/>
  <c r="BV15" i="3"/>
  <c r="BZ23" i="3"/>
  <c r="BV24" i="3"/>
  <c r="BV26" i="3"/>
  <c r="BV23" i="3"/>
  <c r="BV25" i="3"/>
  <c r="BV51" i="3"/>
  <c r="BV50" i="3"/>
  <c r="BV49" i="3"/>
  <c r="BU38" i="3"/>
  <c r="BV13" i="3" s="1"/>
  <c r="BU54" i="3"/>
  <c r="BT46" i="3"/>
  <c r="BT51" i="3"/>
  <c r="BT50" i="3"/>
  <c r="BT49" i="3"/>
  <c r="BT45" i="3"/>
  <c r="BT36" i="3"/>
  <c r="BT34" i="3"/>
  <c r="BT32" i="3"/>
  <c r="BT28" i="3"/>
  <c r="BT26" i="3"/>
  <c r="BT24" i="3"/>
  <c r="BT21" i="3"/>
  <c r="BT20" i="3"/>
  <c r="BT19" i="3"/>
  <c r="BT16" i="3"/>
  <c r="BT15" i="3"/>
  <c r="BT36" i="1"/>
  <c r="BT34" i="1"/>
  <c r="BT32" i="1"/>
  <c r="BT28" i="1"/>
  <c r="BT26" i="1"/>
  <c r="BT24" i="1"/>
  <c r="BT21" i="1"/>
  <c r="BT20" i="1"/>
  <c r="BT19" i="1"/>
  <c r="BT16" i="1"/>
  <c r="BT15" i="1"/>
  <c r="BT46" i="1"/>
  <c r="BT45" i="1"/>
  <c r="BT50" i="1"/>
  <c r="BT49" i="1"/>
  <c r="BT51" i="1"/>
  <c r="BQ16" i="1"/>
  <c r="BQ15" i="1"/>
  <c r="BV34" i="3" l="1"/>
  <c r="BV28" i="3"/>
  <c r="BV36" i="3"/>
  <c r="BV32" i="3"/>
  <c r="BZ38" i="3"/>
  <c r="BV30" i="3"/>
  <c r="BV12" i="3"/>
  <c r="BZ54" i="3"/>
  <c r="BV43" i="3"/>
  <c r="BU56" i="3"/>
  <c r="BV48" i="3"/>
  <c r="BO30" i="3"/>
  <c r="BV54" i="3" l="1"/>
  <c r="BZ56" i="3"/>
  <c r="BU58" i="3"/>
  <c r="BU59" i="3" s="1"/>
  <c r="BU59" i="1"/>
  <c r="BV38" i="3"/>
  <c r="BO43" i="1"/>
  <c r="BO30" i="1"/>
  <c r="BO48" i="3"/>
  <c r="BO43" i="3"/>
  <c r="BO23" i="3"/>
  <c r="BO18" i="3"/>
  <c r="BO13" i="3"/>
  <c r="BQ51" i="3"/>
  <c r="BQ50" i="3"/>
  <c r="BQ49" i="3"/>
  <c r="BQ46" i="3"/>
  <c r="BQ45" i="3"/>
  <c r="BQ36" i="3"/>
  <c r="BQ34" i="3"/>
  <c r="BQ32" i="3"/>
  <c r="BQ28" i="3"/>
  <c r="BQ26" i="3"/>
  <c r="BQ25" i="3"/>
  <c r="BQ24" i="3"/>
  <c r="BQ21" i="3"/>
  <c r="BQ20" i="3"/>
  <c r="BQ19" i="3"/>
  <c r="BQ16" i="3"/>
  <c r="BQ15" i="3"/>
  <c r="BO48" i="1"/>
  <c r="BO23" i="1"/>
  <c r="BO18" i="1"/>
  <c r="BQ51" i="1"/>
  <c r="BQ50" i="1"/>
  <c r="BQ49" i="1"/>
  <c r="BQ46" i="1"/>
  <c r="BQ45" i="1"/>
  <c r="BQ36" i="1"/>
  <c r="BQ34" i="1"/>
  <c r="BQ32" i="1"/>
  <c r="BQ28" i="1"/>
  <c r="BQ26" i="1"/>
  <c r="BQ25" i="1"/>
  <c r="BQ24" i="1"/>
  <c r="BQ21" i="1"/>
  <c r="BQ20" i="1"/>
  <c r="BQ19" i="1"/>
  <c r="BO13" i="1"/>
  <c r="BR48" i="3"/>
  <c r="BR30" i="3"/>
  <c r="BR43" i="3"/>
  <c r="BR23" i="3"/>
  <c r="BR18" i="3"/>
  <c r="BR13" i="3"/>
  <c r="BR30" i="1"/>
  <c r="BP16" i="3" l="1"/>
  <c r="BP15" i="3"/>
  <c r="BT43" i="3"/>
  <c r="BW43" i="3"/>
  <c r="BW30" i="3"/>
  <c r="BT30" i="3"/>
  <c r="BP51" i="3"/>
  <c r="BP50" i="3"/>
  <c r="BP49" i="3"/>
  <c r="BP21" i="3"/>
  <c r="BP19" i="3"/>
  <c r="BP20" i="3"/>
  <c r="BP26" i="3"/>
  <c r="BP24" i="3"/>
  <c r="BP25" i="3"/>
  <c r="BS16" i="3"/>
  <c r="BS15" i="3"/>
  <c r="BW13" i="3"/>
  <c r="BT13" i="3"/>
  <c r="BP46" i="3"/>
  <c r="BP45" i="3"/>
  <c r="BS19" i="3"/>
  <c r="BW18" i="3"/>
  <c r="BT18" i="3"/>
  <c r="BS24" i="3"/>
  <c r="BW23" i="3"/>
  <c r="BT23" i="3"/>
  <c r="BP24" i="1"/>
  <c r="BP26" i="1"/>
  <c r="BP25" i="1"/>
  <c r="BW30" i="1"/>
  <c r="BT30" i="1"/>
  <c r="BP16" i="1"/>
  <c r="BP15" i="1"/>
  <c r="BP20" i="1"/>
  <c r="BP21" i="1"/>
  <c r="BP19" i="1"/>
  <c r="BW48" i="3"/>
  <c r="BT48" i="3"/>
  <c r="BV56" i="3"/>
  <c r="BO54" i="3"/>
  <c r="BO54" i="1"/>
  <c r="BP48" i="1" s="1"/>
  <c r="BP46" i="1"/>
  <c r="BO12" i="3"/>
  <c r="BP45" i="1"/>
  <c r="BO12" i="1"/>
  <c r="BP13" i="1" s="1"/>
  <c r="BS25" i="3"/>
  <c r="BS45" i="3"/>
  <c r="BS26" i="3"/>
  <c r="BS46" i="3"/>
  <c r="BS49" i="3"/>
  <c r="BS20" i="3"/>
  <c r="BS50" i="3"/>
  <c r="BS21" i="3"/>
  <c r="BS51" i="3"/>
  <c r="BR12" i="3"/>
  <c r="BR54" i="3"/>
  <c r="BP23" i="1" l="1"/>
  <c r="BP18" i="3"/>
  <c r="BP23" i="3"/>
  <c r="BP48" i="3"/>
  <c r="BT12" i="3"/>
  <c r="BW12" i="3"/>
  <c r="BP43" i="3"/>
  <c r="BP18" i="1"/>
  <c r="BO38" i="1"/>
  <c r="BO56" i="1" s="1"/>
  <c r="BP54" i="1" s="1"/>
  <c r="BP12" i="1"/>
  <c r="BS48" i="3"/>
  <c r="BT54" i="3"/>
  <c r="BW54" i="3"/>
  <c r="BO38" i="3"/>
  <c r="BP43" i="1"/>
  <c r="BS23" i="3"/>
  <c r="BS43" i="3"/>
  <c r="BS18" i="3"/>
  <c r="BR38" i="3"/>
  <c r="BT38" i="3" l="1"/>
  <c r="BW38" i="3"/>
  <c r="BP36" i="3"/>
  <c r="BP34" i="3"/>
  <c r="BP28" i="3"/>
  <c r="BP32" i="3"/>
  <c r="BP38" i="3"/>
  <c r="BP30" i="3"/>
  <c r="BP13" i="3"/>
  <c r="BP12" i="3"/>
  <c r="BP32" i="1"/>
  <c r="BP36" i="1"/>
  <c r="BP28" i="1"/>
  <c r="BP34" i="1"/>
  <c r="BP38" i="1"/>
  <c r="BP30" i="1"/>
  <c r="BO56" i="3"/>
  <c r="BR56" i="3"/>
  <c r="BW56" i="3" s="1"/>
  <c r="BS36" i="3"/>
  <c r="BS34" i="3"/>
  <c r="BS13" i="3"/>
  <c r="BS32" i="3"/>
  <c r="BS28" i="3"/>
  <c r="BS30" i="3"/>
  <c r="BS12" i="3"/>
  <c r="BP54" i="3" l="1"/>
  <c r="BP56" i="3" s="1"/>
  <c r="BS54" i="3"/>
  <c r="BT56" i="3"/>
  <c r="BP56" i="1"/>
  <c r="BS38" i="3"/>
  <c r="BS56" i="3" s="1"/>
  <c r="BR48" i="1" l="1"/>
  <c r="BR43" i="1"/>
  <c r="BR23" i="1"/>
  <c r="BR18" i="1"/>
  <c r="BR13" i="1"/>
  <c r="BT13" i="1" l="1"/>
  <c r="BW13" i="1"/>
  <c r="BW18" i="1"/>
  <c r="BT18" i="1"/>
  <c r="BW23" i="1"/>
  <c r="BT23" i="1"/>
  <c r="BW43" i="1"/>
  <c r="BT43" i="1"/>
  <c r="BW48" i="1"/>
  <c r="BT48" i="1"/>
  <c r="BS26" i="1"/>
  <c r="BS24" i="1"/>
  <c r="BS16" i="1"/>
  <c r="BS15" i="1"/>
  <c r="BS46" i="1"/>
  <c r="BS45" i="1"/>
  <c r="BS20" i="1"/>
  <c r="BS19" i="1"/>
  <c r="BS21" i="1"/>
  <c r="BR54" i="1"/>
  <c r="BS51" i="1"/>
  <c r="BS50" i="1"/>
  <c r="BS49" i="1"/>
  <c r="BR12" i="1"/>
  <c r="BW12" i="1" s="1"/>
  <c r="BL30" i="1"/>
  <c r="BQ30" i="1" s="1"/>
  <c r="BL30" i="3"/>
  <c r="BQ30" i="3" s="1"/>
  <c r="BS48" i="1" l="1"/>
  <c r="BW54" i="1"/>
  <c r="BT54" i="1"/>
  <c r="BS13" i="1"/>
  <c r="BT12" i="1"/>
  <c r="BR38" i="1"/>
  <c r="BS18" i="1"/>
  <c r="BS23" i="1"/>
  <c r="BS43" i="1"/>
  <c r="BN51" i="3"/>
  <c r="BN50" i="3"/>
  <c r="BN49" i="3"/>
  <c r="BL48" i="3"/>
  <c r="BQ48" i="3" s="1"/>
  <c r="BN46" i="3"/>
  <c r="BN45" i="3"/>
  <c r="BL43" i="3"/>
  <c r="BQ43" i="3" s="1"/>
  <c r="BN36" i="3"/>
  <c r="BN34" i="3"/>
  <c r="BN32" i="3"/>
  <c r="BN28" i="3"/>
  <c r="BN26" i="3"/>
  <c r="BN25" i="3"/>
  <c r="BN24" i="3"/>
  <c r="BL23" i="3"/>
  <c r="BQ23" i="3" s="1"/>
  <c r="BN21" i="3"/>
  <c r="BN20" i="3"/>
  <c r="BN19" i="3"/>
  <c r="BL18" i="3"/>
  <c r="BQ18" i="3" s="1"/>
  <c r="BN16" i="3"/>
  <c r="BN15" i="3"/>
  <c r="BL13" i="3"/>
  <c r="BN51" i="1"/>
  <c r="BN50" i="1"/>
  <c r="BN49" i="1"/>
  <c r="BL48" i="1"/>
  <c r="BN46" i="1"/>
  <c r="BN45" i="1"/>
  <c r="BL43" i="1"/>
  <c r="BQ43" i="1" s="1"/>
  <c r="BN36" i="1"/>
  <c r="BN34" i="1"/>
  <c r="BN32" i="1"/>
  <c r="BN28" i="1"/>
  <c r="BN26" i="1"/>
  <c r="BN25" i="1"/>
  <c r="BN24" i="1"/>
  <c r="BL23" i="1"/>
  <c r="BQ23" i="1" s="1"/>
  <c r="BN21" i="1"/>
  <c r="BN20" i="1"/>
  <c r="BN19" i="1"/>
  <c r="BL18" i="1"/>
  <c r="BQ18" i="1" s="1"/>
  <c r="BN16" i="1"/>
  <c r="BN15" i="1"/>
  <c r="BL13" i="1"/>
  <c r="BQ13" i="1" s="1"/>
  <c r="BP14" i="3" l="1"/>
  <c r="BQ13" i="3"/>
  <c r="BT38" i="1"/>
  <c r="BW38" i="1"/>
  <c r="BP51" i="1"/>
  <c r="BP50" i="1"/>
  <c r="BP49" i="1"/>
  <c r="BQ48" i="1"/>
  <c r="BS12" i="1"/>
  <c r="BS25" i="1"/>
  <c r="BS28" i="1"/>
  <c r="BS32" i="1"/>
  <c r="BS36" i="1"/>
  <c r="BS34" i="1"/>
  <c r="BS30" i="1"/>
  <c r="BR56" i="1"/>
  <c r="BW56" i="1" s="1"/>
  <c r="BS14" i="3"/>
  <c r="BM20" i="3"/>
  <c r="BM21" i="3"/>
  <c r="BM19" i="3"/>
  <c r="BM26" i="1"/>
  <c r="BM25" i="1"/>
  <c r="BM24" i="1"/>
  <c r="BM46" i="3"/>
  <c r="BM45" i="3"/>
  <c r="BM21" i="1"/>
  <c r="BM19" i="1"/>
  <c r="BM20" i="1"/>
  <c r="BM51" i="1"/>
  <c r="BM50" i="1"/>
  <c r="BM49" i="1"/>
  <c r="BM51" i="3"/>
  <c r="BM50" i="3"/>
  <c r="BM49" i="3"/>
  <c r="BM15" i="3"/>
  <c r="BM16" i="3"/>
  <c r="BM14" i="3"/>
  <c r="BM16" i="1"/>
  <c r="BM15" i="1"/>
  <c r="BM25" i="3"/>
  <c r="BM26" i="3"/>
  <c r="BM24" i="3"/>
  <c r="BL54" i="3"/>
  <c r="BQ54" i="3" s="1"/>
  <c r="BM45" i="1"/>
  <c r="BM46" i="1"/>
  <c r="BL12" i="3"/>
  <c r="BQ12" i="3" s="1"/>
  <c r="BL12" i="1"/>
  <c r="BQ12" i="1" s="1"/>
  <c r="BL54" i="1"/>
  <c r="BQ54" i="1" l="1"/>
  <c r="BS54" i="1"/>
  <c r="BT56" i="1"/>
  <c r="BM43" i="1"/>
  <c r="BS38" i="1"/>
  <c r="BM48" i="1"/>
  <c r="BM13" i="1"/>
  <c r="BM43" i="3"/>
  <c r="BM48" i="3"/>
  <c r="BM18" i="3"/>
  <c r="BM23" i="3"/>
  <c r="BL38" i="1"/>
  <c r="BM18" i="1"/>
  <c r="BM23" i="1"/>
  <c r="BL38" i="3"/>
  <c r="BQ38" i="3" s="1"/>
  <c r="BL56" i="1" l="1"/>
  <c r="BQ38" i="1"/>
  <c r="BS56" i="1"/>
  <c r="BM12" i="1"/>
  <c r="BM34" i="1"/>
  <c r="BM12" i="3"/>
  <c r="BL56" i="3"/>
  <c r="BQ56" i="3" s="1"/>
  <c r="BM32" i="1"/>
  <c r="BM28" i="1"/>
  <c r="BM36" i="1"/>
  <c r="BM30" i="1"/>
  <c r="BM28" i="3"/>
  <c r="BM36" i="3"/>
  <c r="BM34" i="3"/>
  <c r="BM32" i="3"/>
  <c r="BM30" i="3"/>
  <c r="BM13" i="3"/>
  <c r="BM38" i="1"/>
  <c r="BQ56" i="1" l="1"/>
  <c r="BM54" i="1"/>
  <c r="BM56" i="1" s="1"/>
  <c r="BL59" i="1"/>
  <c r="BM38" i="3"/>
  <c r="BM54" i="3"/>
  <c r="BI30" i="3"/>
  <c r="BM56" i="3" l="1"/>
  <c r="BN30" i="3"/>
  <c r="BF30" i="3"/>
  <c r="BI30" i="1" l="1"/>
  <c r="BN30" i="1" l="1"/>
  <c r="BK51" i="3"/>
  <c r="BK50" i="3"/>
  <c r="BK49" i="3"/>
  <c r="BI48" i="3"/>
  <c r="BK46" i="3"/>
  <c r="BK45" i="3"/>
  <c r="BI43" i="3"/>
  <c r="BK36" i="3"/>
  <c r="BK34" i="3"/>
  <c r="BK32" i="3"/>
  <c r="BK28" i="3"/>
  <c r="BK26" i="3"/>
  <c r="BK25" i="3"/>
  <c r="BK24" i="3"/>
  <c r="BI23" i="3"/>
  <c r="BK21" i="3"/>
  <c r="BK20" i="3"/>
  <c r="BK19" i="3"/>
  <c r="BI18" i="3"/>
  <c r="BK16" i="3"/>
  <c r="BK15" i="3"/>
  <c r="BI13" i="3"/>
  <c r="BK51" i="1"/>
  <c r="BK50" i="1"/>
  <c r="BK49" i="1"/>
  <c r="BI48" i="1"/>
  <c r="BK46" i="1"/>
  <c r="BK45" i="1"/>
  <c r="BI43" i="1"/>
  <c r="BK36" i="1"/>
  <c r="BK34" i="1"/>
  <c r="BK32" i="1"/>
  <c r="BK28" i="1"/>
  <c r="BK26" i="1"/>
  <c r="BK25" i="1"/>
  <c r="BK24" i="1"/>
  <c r="BI23" i="1"/>
  <c r="BK21" i="1"/>
  <c r="BK20" i="1"/>
  <c r="BK19" i="1"/>
  <c r="BI18" i="1"/>
  <c r="BK16" i="1"/>
  <c r="BK15" i="1"/>
  <c r="BI13" i="1"/>
  <c r="BJ45" i="1" l="1"/>
  <c r="BN43" i="1"/>
  <c r="BJ20" i="3"/>
  <c r="BJ21" i="3"/>
  <c r="BJ19" i="3"/>
  <c r="BN18" i="3"/>
  <c r="BJ51" i="3"/>
  <c r="BJ50" i="3"/>
  <c r="BJ49" i="3"/>
  <c r="BN48" i="3"/>
  <c r="BN13" i="1"/>
  <c r="BJ16" i="1"/>
  <c r="BJ15" i="1"/>
  <c r="BJ50" i="1"/>
  <c r="BJ49" i="1"/>
  <c r="BJ51" i="1"/>
  <c r="BN48" i="1"/>
  <c r="BJ20" i="1"/>
  <c r="BJ19" i="1"/>
  <c r="BN18" i="1"/>
  <c r="BJ21" i="1"/>
  <c r="BJ25" i="3"/>
  <c r="BJ26" i="3"/>
  <c r="BJ24" i="3"/>
  <c r="BN23" i="3"/>
  <c r="BJ26" i="1"/>
  <c r="BJ25" i="1"/>
  <c r="BJ24" i="1"/>
  <c r="BN23" i="1"/>
  <c r="BJ15" i="3"/>
  <c r="BJ16" i="3"/>
  <c r="BJ14" i="3"/>
  <c r="BN13" i="3"/>
  <c r="BJ45" i="3"/>
  <c r="BJ46" i="3"/>
  <c r="BN43" i="3"/>
  <c r="BJ46" i="1"/>
  <c r="BI12" i="3"/>
  <c r="BI54" i="3"/>
  <c r="BN54" i="3" s="1"/>
  <c r="BI12" i="1"/>
  <c r="BJ18" i="1" s="1"/>
  <c r="BI54" i="1"/>
  <c r="BH51" i="1"/>
  <c r="BH50" i="1"/>
  <c r="BH49" i="1"/>
  <c r="BH46" i="1"/>
  <c r="BH45" i="1"/>
  <c r="BH36" i="1"/>
  <c r="BH34" i="1"/>
  <c r="BH32" i="1"/>
  <c r="BH28" i="1"/>
  <c r="BH26" i="1"/>
  <c r="BH25" i="1"/>
  <c r="BH24" i="1"/>
  <c r="BH21" i="1"/>
  <c r="BH20" i="1"/>
  <c r="BH19" i="1"/>
  <c r="BH16" i="1"/>
  <c r="BH15" i="1"/>
  <c r="BJ43" i="3" l="1"/>
  <c r="BN12" i="3"/>
  <c r="BJ13" i="1"/>
  <c r="BJ23" i="1"/>
  <c r="BJ48" i="3"/>
  <c r="BJ18" i="3"/>
  <c r="BJ43" i="1"/>
  <c r="BN54" i="1"/>
  <c r="BJ23" i="3"/>
  <c r="BN12" i="1"/>
  <c r="BJ48" i="1"/>
  <c r="BI38" i="3"/>
  <c r="BI38" i="1"/>
  <c r="BI56" i="1" l="1"/>
  <c r="BJ32" i="1"/>
  <c r="BJ34" i="1"/>
  <c r="BJ36" i="1"/>
  <c r="BJ28" i="1"/>
  <c r="BN38" i="1"/>
  <c r="BJ30" i="1"/>
  <c r="BI56" i="3"/>
  <c r="BJ28" i="3"/>
  <c r="BJ36" i="3"/>
  <c r="BJ32" i="3"/>
  <c r="BJ34" i="3"/>
  <c r="BN38" i="3"/>
  <c r="BJ30" i="3"/>
  <c r="BJ13" i="3"/>
  <c r="BJ12" i="3"/>
  <c r="BJ12" i="1"/>
  <c r="BK30" i="3"/>
  <c r="BJ38" i="1" l="1"/>
  <c r="BN56" i="1"/>
  <c r="BN56" i="3"/>
  <c r="BJ54" i="3"/>
  <c r="BJ38" i="3"/>
  <c r="BJ56" i="3" s="1"/>
  <c r="BI59" i="1"/>
  <c r="BJ54" i="1"/>
  <c r="BF30" i="1"/>
  <c r="BJ56" i="1" l="1"/>
  <c r="BK30" i="1"/>
  <c r="BC30" i="1"/>
  <c r="BH30" i="1" s="1"/>
  <c r="BF48" i="1" l="1"/>
  <c r="BF43" i="1"/>
  <c r="BF23" i="1"/>
  <c r="BF18" i="1"/>
  <c r="BF13" i="1"/>
  <c r="BH51" i="3"/>
  <c r="BH50" i="3"/>
  <c r="BH49" i="3"/>
  <c r="BF48" i="3"/>
  <c r="BH46" i="3"/>
  <c r="BH45" i="3"/>
  <c r="BF43" i="3"/>
  <c r="BH36" i="3"/>
  <c r="BH34" i="3"/>
  <c r="BH32" i="3"/>
  <c r="BH28" i="3"/>
  <c r="BH26" i="3"/>
  <c r="BH25" i="3"/>
  <c r="BH24" i="3"/>
  <c r="BF23" i="3"/>
  <c r="BH21" i="3"/>
  <c r="BH20" i="3"/>
  <c r="BH19" i="3"/>
  <c r="BF18" i="3"/>
  <c r="BH16" i="3"/>
  <c r="BH15" i="3"/>
  <c r="BF13" i="3"/>
  <c r="BK18" i="3" l="1"/>
  <c r="BK23" i="3"/>
  <c r="BF54" i="3"/>
  <c r="BK54" i="3" s="1"/>
  <c r="BG46" i="3"/>
  <c r="BG45" i="3"/>
  <c r="BK43" i="3"/>
  <c r="BG49" i="3"/>
  <c r="BG51" i="3"/>
  <c r="BG50" i="3"/>
  <c r="BK48" i="3"/>
  <c r="BG16" i="1"/>
  <c r="BG15" i="1"/>
  <c r="BK13" i="1"/>
  <c r="BG24" i="1"/>
  <c r="BG26" i="1"/>
  <c r="BG25" i="1"/>
  <c r="BK23" i="1"/>
  <c r="BG20" i="1"/>
  <c r="BG21" i="1"/>
  <c r="BG19" i="1"/>
  <c r="BK18" i="1"/>
  <c r="BG15" i="3"/>
  <c r="BG16" i="3"/>
  <c r="BK13" i="3"/>
  <c r="BG46" i="1"/>
  <c r="BK43" i="1"/>
  <c r="BG51" i="1"/>
  <c r="BG50" i="1"/>
  <c r="BG49" i="1"/>
  <c r="BK48" i="1"/>
  <c r="BF12" i="3"/>
  <c r="BF54" i="1"/>
  <c r="BG48" i="1" s="1"/>
  <c r="BF12" i="1"/>
  <c r="BG23" i="1" s="1"/>
  <c r="BG45" i="1"/>
  <c r="BE15" i="3"/>
  <c r="BE16" i="3"/>
  <c r="BE19" i="3"/>
  <c r="BE20" i="3"/>
  <c r="BE21" i="3"/>
  <c r="BE24" i="3"/>
  <c r="BE25" i="3"/>
  <c r="BE26" i="3"/>
  <c r="BE28" i="3"/>
  <c r="BE32" i="3"/>
  <c r="BE34" i="3"/>
  <c r="BE36" i="3"/>
  <c r="BE45" i="3"/>
  <c r="BE46" i="3"/>
  <c r="BE49" i="3"/>
  <c r="BE50" i="3"/>
  <c r="BE51" i="3"/>
  <c r="BG43" i="3" l="1"/>
  <c r="BG18" i="1"/>
  <c r="BG13" i="1"/>
  <c r="BG48" i="3"/>
  <c r="BK12" i="3"/>
  <c r="BK12" i="1"/>
  <c r="BF38" i="1"/>
  <c r="BG13" i="3"/>
  <c r="BG43" i="1"/>
  <c r="BK54" i="1"/>
  <c r="BF38" i="3"/>
  <c r="BC48" i="3"/>
  <c r="BC30" i="3"/>
  <c r="BE15" i="1"/>
  <c r="BE16" i="1"/>
  <c r="BE19" i="1"/>
  <c r="BE20" i="1"/>
  <c r="BE21" i="1"/>
  <c r="BE24" i="1"/>
  <c r="BE25" i="1"/>
  <c r="BE26" i="1"/>
  <c r="BE28" i="1"/>
  <c r="BE32" i="1"/>
  <c r="BE34" i="1"/>
  <c r="BE36" i="1"/>
  <c r="BE45" i="1"/>
  <c r="BE46" i="1"/>
  <c r="BE49" i="1"/>
  <c r="BE50" i="1"/>
  <c r="BE51" i="1"/>
  <c r="BD50" i="3" l="1"/>
  <c r="BD51" i="3"/>
  <c r="BD49" i="3"/>
  <c r="BH30" i="3"/>
  <c r="BF56" i="3"/>
  <c r="BG36" i="3"/>
  <c r="BG34" i="3"/>
  <c r="BG32" i="3"/>
  <c r="BG28" i="3"/>
  <c r="BG30" i="3"/>
  <c r="BG12" i="3"/>
  <c r="BG36" i="1"/>
  <c r="BG34" i="1"/>
  <c r="BG28" i="1"/>
  <c r="BG32" i="1"/>
  <c r="BK38" i="1"/>
  <c r="BG30" i="1"/>
  <c r="BG12" i="1"/>
  <c r="BF56" i="1"/>
  <c r="BG38" i="1" s="1"/>
  <c r="BH48" i="3"/>
  <c r="BK38" i="3"/>
  <c r="BC43" i="3"/>
  <c r="BC23" i="3"/>
  <c r="BC18" i="3"/>
  <c r="BC13" i="3"/>
  <c r="BK56" i="3" l="1"/>
  <c r="BD25" i="3"/>
  <c r="BD26" i="3"/>
  <c r="BD24" i="3"/>
  <c r="BH23" i="3"/>
  <c r="BC54" i="3"/>
  <c r="BD48" i="3" s="1"/>
  <c r="BD45" i="3"/>
  <c r="BD46" i="3"/>
  <c r="BH43" i="3"/>
  <c r="BF59" i="1"/>
  <c r="BK56" i="1"/>
  <c r="BG54" i="1"/>
  <c r="BG56" i="1" s="1"/>
  <c r="BD16" i="3"/>
  <c r="BD15" i="3"/>
  <c r="BD14" i="3"/>
  <c r="BH13" i="3"/>
  <c r="BG38" i="3"/>
  <c r="BD21" i="3"/>
  <c r="BD19" i="3"/>
  <c r="BD20" i="3"/>
  <c r="BH18" i="3"/>
  <c r="BG54" i="3"/>
  <c r="BC12" i="3"/>
  <c r="BD18" i="3" s="1"/>
  <c r="BC38" i="3"/>
  <c r="BG56" i="3" l="1"/>
  <c r="BD13" i="3"/>
  <c r="BD34" i="3"/>
  <c r="BD32" i="3"/>
  <c r="BD28" i="3"/>
  <c r="BD36" i="3"/>
  <c r="BD30" i="3"/>
  <c r="BH38" i="3"/>
  <c r="BD12" i="3"/>
  <c r="BH12" i="3"/>
  <c r="BD43" i="3"/>
  <c r="BD23" i="3"/>
  <c r="BH54" i="3"/>
  <c r="BC56" i="3"/>
  <c r="BH56" i="3" l="1"/>
  <c r="BD54" i="3"/>
  <c r="BD38" i="3"/>
  <c r="BD56" i="3" l="1"/>
  <c r="BC48" i="1"/>
  <c r="BC43" i="1"/>
  <c r="BC23" i="1"/>
  <c r="BC18" i="1"/>
  <c r="BC13" i="1"/>
  <c r="BH18" i="1" l="1"/>
  <c r="BD20" i="1"/>
  <c r="BD21" i="1"/>
  <c r="BD19" i="1"/>
  <c r="BH13" i="1"/>
  <c r="BD16" i="1"/>
  <c r="BD15" i="1"/>
  <c r="BH43" i="1"/>
  <c r="BC54" i="1"/>
  <c r="BH48" i="1"/>
  <c r="BD50" i="1"/>
  <c r="BD51" i="1"/>
  <c r="BD49" i="1"/>
  <c r="BH23" i="1"/>
  <c r="BD25" i="1"/>
  <c r="BD24" i="1"/>
  <c r="BD26" i="1"/>
  <c r="BD45" i="1"/>
  <c r="BD46" i="1"/>
  <c r="BC12" i="1"/>
  <c r="BD13" i="1" s="1"/>
  <c r="BC38" i="1"/>
  <c r="BD28" i="1" s="1"/>
  <c r="BD43" i="1"/>
  <c r="AZ30" i="1"/>
  <c r="BE30" i="1" s="1"/>
  <c r="AZ30" i="3"/>
  <c r="BE30" i="3" s="1"/>
  <c r="BH54" i="1" l="1"/>
  <c r="BH12" i="1"/>
  <c r="BD23" i="1"/>
  <c r="BD48" i="1"/>
  <c r="BD18" i="1"/>
  <c r="BH38" i="1"/>
  <c r="BD36" i="1"/>
  <c r="BD32" i="1"/>
  <c r="BD12" i="1"/>
  <c r="BD34" i="1"/>
  <c r="BD30" i="1"/>
  <c r="BC56" i="1"/>
  <c r="BB51" i="3"/>
  <c r="BB50" i="3"/>
  <c r="BB49" i="3"/>
  <c r="BB46" i="3"/>
  <c r="BB45" i="3"/>
  <c r="BB36" i="3"/>
  <c r="BB34" i="3"/>
  <c r="BB32" i="3"/>
  <c r="BB28" i="3"/>
  <c r="BB26" i="3"/>
  <c r="BB25" i="3"/>
  <c r="BB24" i="3"/>
  <c r="BB21" i="3"/>
  <c r="BB20" i="3"/>
  <c r="BB19" i="3"/>
  <c r="BB16" i="3"/>
  <c r="BB15" i="3"/>
  <c r="BB51" i="1"/>
  <c r="BB50" i="1"/>
  <c r="BB49" i="1"/>
  <c r="BB46" i="1"/>
  <c r="BB45" i="1"/>
  <c r="BB36" i="1"/>
  <c r="BB34" i="1"/>
  <c r="BB32" i="1"/>
  <c r="BB28" i="1"/>
  <c r="BB26" i="1"/>
  <c r="BB25" i="1"/>
  <c r="BB24" i="1"/>
  <c r="BB21" i="1"/>
  <c r="BB20" i="1"/>
  <c r="BB19" i="1"/>
  <c r="BB16" i="1"/>
  <c r="BB15" i="1"/>
  <c r="BH56" i="1" l="1"/>
  <c r="BD54" i="1"/>
  <c r="BD38" i="1"/>
  <c r="BD56" i="1" s="1"/>
  <c r="AZ48" i="3" l="1"/>
  <c r="BE48" i="3" s="1"/>
  <c r="AZ43" i="3"/>
  <c r="BE43" i="3" s="1"/>
  <c r="AZ23" i="3"/>
  <c r="AZ18" i="3"/>
  <c r="AZ13" i="3"/>
  <c r="AZ48" i="1"/>
  <c r="AZ43" i="1"/>
  <c r="AZ23" i="1"/>
  <c r="AZ18" i="1"/>
  <c r="AZ13" i="1"/>
  <c r="BG19" i="3" l="1"/>
  <c r="BG20" i="3"/>
  <c r="BG21" i="3"/>
  <c r="BE18" i="3"/>
  <c r="BG26" i="3"/>
  <c r="BG25" i="3"/>
  <c r="BG24" i="3"/>
  <c r="BE23" i="3"/>
  <c r="BE23" i="1"/>
  <c r="BA25" i="1"/>
  <c r="BA26" i="1"/>
  <c r="BA24" i="1"/>
  <c r="AZ54" i="1"/>
  <c r="BA48" i="1"/>
  <c r="BE48" i="1"/>
  <c r="BA14" i="1"/>
  <c r="BE13" i="1"/>
  <c r="BA15" i="1"/>
  <c r="BA16" i="1"/>
  <c r="BE43" i="1"/>
  <c r="BA46" i="1"/>
  <c r="BG14" i="3"/>
  <c r="BE13" i="3"/>
  <c r="BA19" i="1"/>
  <c r="BE18" i="1"/>
  <c r="BA21" i="1"/>
  <c r="BA20" i="1"/>
  <c r="BA51" i="3"/>
  <c r="BA50" i="3"/>
  <c r="BA49" i="3"/>
  <c r="AZ54" i="3"/>
  <c r="BE54" i="3" s="1"/>
  <c r="BA45" i="3"/>
  <c r="BA46" i="3"/>
  <c r="BA25" i="3"/>
  <c r="BA24" i="3"/>
  <c r="BA26" i="3"/>
  <c r="BA21" i="3"/>
  <c r="BA20" i="3"/>
  <c r="BA19" i="3"/>
  <c r="BA16" i="3"/>
  <c r="BA15" i="3"/>
  <c r="BA14" i="3"/>
  <c r="AZ12" i="3"/>
  <c r="AZ12" i="1"/>
  <c r="BA23" i="1" s="1"/>
  <c r="BA45" i="1"/>
  <c r="BA13" i="1" l="1"/>
  <c r="BE54" i="1"/>
  <c r="BG18" i="3"/>
  <c r="BG23" i="3"/>
  <c r="BE12" i="3"/>
  <c r="BA43" i="1"/>
  <c r="BE12" i="1"/>
  <c r="BA18" i="1"/>
  <c r="BA13" i="3"/>
  <c r="BA43" i="3"/>
  <c r="BA48" i="3"/>
  <c r="AZ38" i="3"/>
  <c r="BE38" i="3" s="1"/>
  <c r="BA18" i="3"/>
  <c r="BA23" i="3"/>
  <c r="AZ38" i="1"/>
  <c r="BA12" i="1" s="1"/>
  <c r="BA28" i="1" l="1"/>
  <c r="BE38" i="1"/>
  <c r="BA12" i="3"/>
  <c r="BA36" i="1"/>
  <c r="BA30" i="1"/>
  <c r="BA32" i="1"/>
  <c r="BA34" i="1"/>
  <c r="AZ56" i="3"/>
  <c r="BA32" i="3"/>
  <c r="BA28" i="3"/>
  <c r="BA36" i="3"/>
  <c r="BA34" i="3"/>
  <c r="BA30" i="3"/>
  <c r="AZ56" i="1"/>
  <c r="BA54" i="3" l="1"/>
  <c r="BE56" i="3"/>
  <c r="BA54" i="1"/>
  <c r="BE56" i="1"/>
  <c r="BA38" i="1"/>
  <c r="BA38" i="3"/>
  <c r="BA56" i="3" s="1"/>
  <c r="BA56" i="1" l="1"/>
  <c r="AX30" i="3"/>
  <c r="BB30" i="3" s="1"/>
  <c r="AX30" i="1" l="1"/>
  <c r="BB30" i="1" s="1"/>
  <c r="AX48" i="3" l="1"/>
  <c r="BB48" i="3" s="1"/>
  <c r="AX43" i="3"/>
  <c r="BB43" i="3" s="1"/>
  <c r="AX23" i="3"/>
  <c r="BB23" i="3" s="1"/>
  <c r="AX18" i="3"/>
  <c r="BB18" i="3" s="1"/>
  <c r="AX13" i="3"/>
  <c r="BB13" i="3" s="1"/>
  <c r="AX48" i="1"/>
  <c r="BB48" i="1" s="1"/>
  <c r="AX43" i="1"/>
  <c r="BB43" i="1" s="1"/>
  <c r="AX23" i="1"/>
  <c r="BB23" i="1" s="1"/>
  <c r="AX18" i="1"/>
  <c r="BB18" i="1" s="1"/>
  <c r="AX13" i="1"/>
  <c r="BB13" i="1" s="1"/>
  <c r="AY15" i="3" l="1"/>
  <c r="AY16" i="3"/>
  <c r="AY14" i="3"/>
  <c r="AY21" i="3"/>
  <c r="AY20" i="3"/>
  <c r="AY19" i="3"/>
  <c r="AY25" i="3"/>
  <c r="AY26" i="3"/>
  <c r="AY24" i="3"/>
  <c r="AY46" i="3"/>
  <c r="AY45" i="3"/>
  <c r="AY51" i="3"/>
  <c r="AY50" i="3"/>
  <c r="AY49" i="3"/>
  <c r="AX54" i="1"/>
  <c r="BB54" i="1" s="1"/>
  <c r="BA51" i="1"/>
  <c r="BA50" i="1"/>
  <c r="BA49" i="1"/>
  <c r="AY51" i="1"/>
  <c r="AY49" i="1"/>
  <c r="AY50" i="1"/>
  <c r="AY20" i="1"/>
  <c r="AY19" i="1"/>
  <c r="AY21" i="1"/>
  <c r="AY16" i="1"/>
  <c r="AY15" i="1"/>
  <c r="AY14" i="1"/>
  <c r="AY26" i="1"/>
  <c r="AY25" i="1"/>
  <c r="AY24" i="1"/>
  <c r="AY45" i="1"/>
  <c r="AY46" i="1"/>
  <c r="AX54" i="3"/>
  <c r="BB54" i="3" s="1"/>
  <c r="AX12" i="1"/>
  <c r="AX12" i="3"/>
  <c r="AV30" i="3"/>
  <c r="AV30" i="1"/>
  <c r="AT48" i="1"/>
  <c r="AT54" i="1" s="1"/>
  <c r="AT43" i="1"/>
  <c r="AU46" i="1" s="1"/>
  <c r="AT30" i="1"/>
  <c r="AT23" i="1"/>
  <c r="AU24" i="1" s="1"/>
  <c r="AT18" i="1"/>
  <c r="AU21" i="1" s="1"/>
  <c r="AT13" i="1"/>
  <c r="AU15" i="1" s="1"/>
  <c r="AT48" i="3"/>
  <c r="AU51" i="3" s="1"/>
  <c r="AT43" i="3"/>
  <c r="AT54" i="3" s="1"/>
  <c r="AT30" i="3"/>
  <c r="AT23" i="3"/>
  <c r="AT18" i="3"/>
  <c r="AU21" i="3" s="1"/>
  <c r="AT13" i="3"/>
  <c r="AU15" i="3" s="1"/>
  <c r="AU16" i="1" l="1"/>
  <c r="AY48" i="1"/>
  <c r="AY48" i="3"/>
  <c r="AY23" i="1"/>
  <c r="BB12" i="1"/>
  <c r="AY43" i="1"/>
  <c r="AU48" i="1"/>
  <c r="AU49" i="1"/>
  <c r="AU51" i="1"/>
  <c r="AT12" i="3"/>
  <c r="AU18" i="3" s="1"/>
  <c r="AY43" i="3"/>
  <c r="AY18" i="3"/>
  <c r="BB12" i="3"/>
  <c r="AU45" i="3"/>
  <c r="AY23" i="3"/>
  <c r="AY13" i="3"/>
  <c r="AU16" i="3"/>
  <c r="AU19" i="3"/>
  <c r="AY13" i="1"/>
  <c r="AY18" i="1"/>
  <c r="AU45" i="1"/>
  <c r="AX38" i="1"/>
  <c r="BB38" i="1" s="1"/>
  <c r="AU14" i="1"/>
  <c r="AU26" i="3"/>
  <c r="AX38" i="3"/>
  <c r="BB38" i="3" s="1"/>
  <c r="AU46" i="3"/>
  <c r="AU20" i="3"/>
  <c r="AU49" i="3"/>
  <c r="AU50" i="3"/>
  <c r="AU13" i="3"/>
  <c r="AU23" i="3"/>
  <c r="AU48" i="3"/>
  <c r="AU14" i="3"/>
  <c r="AU24" i="3"/>
  <c r="AU25" i="3"/>
  <c r="AU43" i="3"/>
  <c r="AU26" i="1"/>
  <c r="AU50" i="1"/>
  <c r="AU20" i="1"/>
  <c r="AU25" i="1"/>
  <c r="AU19" i="1"/>
  <c r="AU43" i="1"/>
  <c r="AT12" i="1"/>
  <c r="AU23" i="1" s="1"/>
  <c r="AT38" i="3"/>
  <c r="AY34" i="3" l="1"/>
  <c r="AY32" i="3"/>
  <c r="AY28" i="3"/>
  <c r="AY36" i="3"/>
  <c r="AY30" i="3"/>
  <c r="AY12" i="3"/>
  <c r="AY32" i="1"/>
  <c r="AY36" i="1"/>
  <c r="AY28" i="1"/>
  <c r="AY34" i="1"/>
  <c r="AY30" i="1"/>
  <c r="AX56" i="1"/>
  <c r="AX56" i="3"/>
  <c r="AU36" i="3"/>
  <c r="AU30" i="3"/>
  <c r="AU34" i="3"/>
  <c r="AU32" i="3"/>
  <c r="AU28" i="3"/>
  <c r="AT56" i="3"/>
  <c r="AU54" i="3" s="1"/>
  <c r="AU12" i="3"/>
  <c r="AU13" i="1"/>
  <c r="AU18" i="1"/>
  <c r="AT38" i="1"/>
  <c r="AR30" i="3"/>
  <c r="AY54" i="1" l="1"/>
  <c r="BB56" i="1"/>
  <c r="AU38" i="3"/>
  <c r="AU56" i="3" s="1"/>
  <c r="AY38" i="1"/>
  <c r="AY54" i="3"/>
  <c r="AY38" i="3"/>
  <c r="AU36" i="1"/>
  <c r="AU34" i="1"/>
  <c r="AU32" i="1"/>
  <c r="AU30" i="1"/>
  <c r="AU28" i="1"/>
  <c r="AU12" i="1"/>
  <c r="AT56" i="1"/>
  <c r="AU54" i="1" s="1"/>
  <c r="AS25" i="3"/>
  <c r="AS24" i="3"/>
  <c r="AS19" i="3"/>
  <c r="AR48" i="3"/>
  <c r="AR43" i="3"/>
  <c r="AS46" i="3" s="1"/>
  <c r="AR23" i="3"/>
  <c r="AS26" i="3" s="1"/>
  <c r="AR18" i="3"/>
  <c r="AS21" i="3" s="1"/>
  <c r="AR13" i="3"/>
  <c r="AS14" i="3" s="1"/>
  <c r="AR48" i="1"/>
  <c r="AR54" i="1" s="1"/>
  <c r="AR43" i="1"/>
  <c r="AS46" i="1" s="1"/>
  <c r="AR30" i="1"/>
  <c r="AR23" i="1"/>
  <c r="AS26" i="1" s="1"/>
  <c r="AR18" i="1"/>
  <c r="AS20" i="1" s="1"/>
  <c r="AR13" i="1"/>
  <c r="AS16" i="1" s="1"/>
  <c r="AR12" i="3" l="1"/>
  <c r="AS23" i="3" s="1"/>
  <c r="AY56" i="1"/>
  <c r="AS15" i="1"/>
  <c r="AS21" i="1"/>
  <c r="AS13" i="3"/>
  <c r="AS15" i="3"/>
  <c r="AS16" i="3"/>
  <c r="AS18" i="3"/>
  <c r="AS24" i="1"/>
  <c r="AS25" i="1"/>
  <c r="AY56" i="3"/>
  <c r="AS51" i="3"/>
  <c r="AS49" i="3"/>
  <c r="AS50" i="3"/>
  <c r="AS20" i="3"/>
  <c r="AR54" i="3"/>
  <c r="AS43" i="3" s="1"/>
  <c r="AS45" i="3"/>
  <c r="AS14" i="1"/>
  <c r="AS48" i="1"/>
  <c r="AS19" i="1"/>
  <c r="AS49" i="1"/>
  <c r="AS50" i="1"/>
  <c r="AS51" i="1"/>
  <c r="AU38" i="1"/>
  <c r="AU56" i="1" s="1"/>
  <c r="AR38" i="3"/>
  <c r="AR12" i="1"/>
  <c r="AS43" i="1"/>
  <c r="AS45" i="1"/>
  <c r="J49" i="1"/>
  <c r="J16" i="1"/>
  <c r="J15" i="1"/>
  <c r="J14" i="1"/>
  <c r="AS12" i="3" l="1"/>
  <c r="AS32" i="3"/>
  <c r="AS34" i="3"/>
  <c r="AS28" i="3"/>
  <c r="AS36" i="3"/>
  <c r="AS30" i="3"/>
  <c r="AS48" i="3"/>
  <c r="AR38" i="1"/>
  <c r="AS12" i="1" s="1"/>
  <c r="AS23" i="1"/>
  <c r="AS13" i="1"/>
  <c r="AS18" i="1"/>
  <c r="AR56" i="3"/>
  <c r="AS54" i="3" s="1"/>
  <c r="AQ50" i="3"/>
  <c r="AQ48" i="3"/>
  <c r="AP30" i="3"/>
  <c r="AQ14" i="3"/>
  <c r="AP48" i="3"/>
  <c r="AP43" i="3"/>
  <c r="AP54" i="3" s="1"/>
  <c r="AP23" i="3"/>
  <c r="AP18" i="3"/>
  <c r="AP13" i="3"/>
  <c r="AQ16" i="3" s="1"/>
  <c r="AP48" i="1"/>
  <c r="AP54" i="1" s="1"/>
  <c r="AP43" i="1"/>
  <c r="AQ46" i="1" s="1"/>
  <c r="AP30" i="1"/>
  <c r="AP23" i="1"/>
  <c r="AP18" i="1"/>
  <c r="AQ20" i="1" s="1"/>
  <c r="AP13" i="1"/>
  <c r="AQ16" i="1" s="1"/>
  <c r="AQ15" i="3" l="1"/>
  <c r="AQ15" i="1"/>
  <c r="AQ19" i="1"/>
  <c r="AQ48" i="1"/>
  <c r="AQ18" i="3"/>
  <c r="AQ26" i="3"/>
  <c r="AQ25" i="3"/>
  <c r="AQ24" i="3"/>
  <c r="AQ19" i="3"/>
  <c r="AP12" i="3"/>
  <c r="AQ13" i="3" s="1"/>
  <c r="AQ20" i="3"/>
  <c r="AQ45" i="3"/>
  <c r="AQ23" i="3"/>
  <c r="AQ21" i="3"/>
  <c r="AQ46" i="3"/>
  <c r="AQ49" i="3"/>
  <c r="AQ51" i="3"/>
  <c r="AQ43" i="3"/>
  <c r="AP12" i="1"/>
  <c r="AQ18" i="1" s="1"/>
  <c r="AQ21" i="1"/>
  <c r="AQ25" i="1"/>
  <c r="AQ49" i="1"/>
  <c r="AQ24" i="1"/>
  <c r="AQ26" i="1"/>
  <c r="AQ50" i="1"/>
  <c r="AQ14" i="1"/>
  <c r="AQ51" i="1"/>
  <c r="AS28" i="1"/>
  <c r="AS32" i="1"/>
  <c r="AS36" i="1"/>
  <c r="AS34" i="1"/>
  <c r="AS38" i="1"/>
  <c r="AS30" i="1"/>
  <c r="AS38" i="3"/>
  <c r="AS56" i="3" s="1"/>
  <c r="AR56" i="1"/>
  <c r="AS54" i="1" s="1"/>
  <c r="AP38" i="3"/>
  <c r="AQ30" i="3" s="1"/>
  <c r="AP38" i="1"/>
  <c r="AQ43" i="1"/>
  <c r="AQ45" i="1"/>
  <c r="AO14" i="3"/>
  <c r="AN48" i="3"/>
  <c r="AN43" i="3"/>
  <c r="AN30" i="3"/>
  <c r="AN23" i="3"/>
  <c r="AO26" i="3" s="1"/>
  <c r="AN18" i="3"/>
  <c r="AO19" i="3" s="1"/>
  <c r="AN13" i="3"/>
  <c r="AO16" i="3" s="1"/>
  <c r="AN48" i="1"/>
  <c r="AO51" i="1" s="1"/>
  <c r="AN43" i="1"/>
  <c r="AO46" i="1" s="1"/>
  <c r="AN30" i="1"/>
  <c r="AN23" i="1"/>
  <c r="AO24" i="1" s="1"/>
  <c r="AN18" i="1"/>
  <c r="AN13" i="1"/>
  <c r="AO16" i="1" s="1"/>
  <c r="AO49" i="1" l="1"/>
  <c r="AO25" i="1"/>
  <c r="AN54" i="1"/>
  <c r="AO48" i="1" s="1"/>
  <c r="AO50" i="1"/>
  <c r="AO48" i="3"/>
  <c r="AO51" i="3"/>
  <c r="AO50" i="3"/>
  <c r="AO15" i="3"/>
  <c r="AN54" i="3"/>
  <c r="AO49" i="3"/>
  <c r="AO20" i="3"/>
  <c r="AO25" i="3"/>
  <c r="AO43" i="3"/>
  <c r="AO24" i="3"/>
  <c r="AO45" i="3"/>
  <c r="AQ28" i="3"/>
  <c r="AQ34" i="3"/>
  <c r="AQ36" i="3"/>
  <c r="AQ32" i="3"/>
  <c r="AO21" i="3"/>
  <c r="AN12" i="3"/>
  <c r="AO13" i="3" s="1"/>
  <c r="AO46" i="3"/>
  <c r="AO15" i="1"/>
  <c r="AO26" i="1"/>
  <c r="AO20" i="1"/>
  <c r="AO45" i="1"/>
  <c r="AO21" i="1"/>
  <c r="AQ23" i="1"/>
  <c r="AO19" i="1"/>
  <c r="AP56" i="1"/>
  <c r="AQ54" i="1" s="1"/>
  <c r="AQ28" i="1"/>
  <c r="AQ36" i="1"/>
  <c r="AQ34" i="1"/>
  <c r="AQ32" i="1"/>
  <c r="AQ30" i="1"/>
  <c r="AQ13" i="1"/>
  <c r="AQ12" i="1"/>
  <c r="AS56" i="1"/>
  <c r="AQ12" i="3"/>
  <c r="AP56" i="3"/>
  <c r="AQ54" i="3" s="1"/>
  <c r="AN12" i="1"/>
  <c r="AO18" i="1" s="1"/>
  <c r="AO14" i="1"/>
  <c r="AQ38" i="1" l="1"/>
  <c r="AQ56" i="1" s="1"/>
  <c r="AO43" i="1"/>
  <c r="AO13" i="1"/>
  <c r="AO18" i="3"/>
  <c r="AN38" i="3"/>
  <c r="AN56" i="3" s="1"/>
  <c r="AO54" i="3" s="1"/>
  <c r="AO23" i="3"/>
  <c r="AO23" i="1"/>
  <c r="AQ38" i="3"/>
  <c r="AQ56" i="3" s="1"/>
  <c r="AN38" i="1"/>
  <c r="AV13" i="1"/>
  <c r="AL48" i="3"/>
  <c r="AM51" i="3" s="1"/>
  <c r="AL43" i="3"/>
  <c r="AL54" i="3" s="1"/>
  <c r="AL30" i="3"/>
  <c r="AL23" i="3"/>
  <c r="AM26" i="3" s="1"/>
  <c r="AL18" i="3"/>
  <c r="AM21" i="3" s="1"/>
  <c r="AL13" i="3"/>
  <c r="AM16" i="3" s="1"/>
  <c r="AL48" i="1"/>
  <c r="AL54" i="1" s="1"/>
  <c r="AL43" i="1"/>
  <c r="AM45" i="1" s="1"/>
  <c r="AL30" i="1"/>
  <c r="AL23" i="1"/>
  <c r="AM26" i="1" s="1"/>
  <c r="AL18" i="1"/>
  <c r="AM20" i="1" s="1"/>
  <c r="AL13" i="1"/>
  <c r="AM50" i="3" l="1"/>
  <c r="AL12" i="1"/>
  <c r="AM23" i="1" s="1"/>
  <c r="AM50" i="1"/>
  <c r="AM14" i="3"/>
  <c r="AM19" i="3"/>
  <c r="AM15" i="3"/>
  <c r="AM20" i="3"/>
  <c r="AM48" i="3"/>
  <c r="AM49" i="3"/>
  <c r="AM25" i="1"/>
  <c r="AM21" i="1"/>
  <c r="AM24" i="1"/>
  <c r="AM24" i="3"/>
  <c r="AM43" i="3"/>
  <c r="AM45" i="3"/>
  <c r="AO32" i="3"/>
  <c r="AO28" i="3"/>
  <c r="AO36" i="3"/>
  <c r="AO38" i="3"/>
  <c r="AO56" i="3" s="1"/>
  <c r="AO34" i="3"/>
  <c r="AO30" i="3"/>
  <c r="AL12" i="3"/>
  <c r="AL38" i="3" s="1"/>
  <c r="AM25" i="3"/>
  <c r="AM46" i="3"/>
  <c r="AM51" i="1"/>
  <c r="AM15" i="1"/>
  <c r="AM43" i="1"/>
  <c r="AM46" i="1"/>
  <c r="AO36" i="1"/>
  <c r="AO34" i="1"/>
  <c r="AO32" i="1"/>
  <c r="AO28" i="1"/>
  <c r="AO30" i="1"/>
  <c r="AM19" i="1"/>
  <c r="AM48" i="1"/>
  <c r="AM14" i="1"/>
  <c r="AM16" i="1"/>
  <c r="AM49" i="1"/>
  <c r="AW14" i="1"/>
  <c r="AN56" i="1"/>
  <c r="AO54" i="1" s="1"/>
  <c r="AW15" i="1"/>
  <c r="AW16" i="1"/>
  <c r="AM13" i="1" l="1"/>
  <c r="AL38" i="1"/>
  <c r="AM36" i="1" s="1"/>
  <c r="AM18" i="1"/>
  <c r="AM18" i="3"/>
  <c r="AL56" i="3"/>
  <c r="AM54" i="3" s="1"/>
  <c r="AM28" i="3"/>
  <c r="AM30" i="3"/>
  <c r="AM32" i="3"/>
  <c r="AM36" i="3"/>
  <c r="AM34" i="3"/>
  <c r="AM12" i="3"/>
  <c r="AM23" i="3"/>
  <c r="AM13" i="3"/>
  <c r="AO38" i="1"/>
  <c r="AO56" i="1" s="1"/>
  <c r="AJ48" i="3"/>
  <c r="AJ43" i="3"/>
  <c r="AJ30" i="3"/>
  <c r="AJ23" i="3"/>
  <c r="AJ18" i="3"/>
  <c r="AJ13" i="3"/>
  <c r="AJ48" i="1"/>
  <c r="AJ43" i="1"/>
  <c r="AK46" i="1" s="1"/>
  <c r="AJ30" i="1"/>
  <c r="AJ23" i="1"/>
  <c r="AK25" i="1" s="1"/>
  <c r="AJ18" i="1"/>
  <c r="AK21" i="1" s="1"/>
  <c r="AJ13" i="1"/>
  <c r="AK14" i="1" s="1"/>
  <c r="AM28" i="1" l="1"/>
  <c r="AM34" i="1"/>
  <c r="AL56" i="1"/>
  <c r="AM54" i="1" s="1"/>
  <c r="AM32" i="1"/>
  <c r="AM30" i="1"/>
  <c r="AM12" i="1"/>
  <c r="AJ12" i="3"/>
  <c r="AJ38" i="3" s="1"/>
  <c r="AK12" i="3" s="1"/>
  <c r="AK45" i="1"/>
  <c r="AK15" i="1"/>
  <c r="AK16" i="1"/>
  <c r="AK24" i="1"/>
  <c r="AK50" i="3"/>
  <c r="AK49" i="3"/>
  <c r="AK51" i="3"/>
  <c r="AJ54" i="3"/>
  <c r="AK48" i="3" s="1"/>
  <c r="AK46" i="3"/>
  <c r="AK45" i="3"/>
  <c r="AK19" i="3"/>
  <c r="AK21" i="3"/>
  <c r="AK20" i="3"/>
  <c r="AM38" i="3"/>
  <c r="AM56" i="3" s="1"/>
  <c r="AK14" i="3"/>
  <c r="AK15" i="3"/>
  <c r="AK16" i="3"/>
  <c r="AK26" i="3"/>
  <c r="AK25" i="3"/>
  <c r="AK24" i="3"/>
  <c r="AK26" i="1"/>
  <c r="AK19" i="1"/>
  <c r="AK20" i="1"/>
  <c r="AJ12" i="1"/>
  <c r="AK23" i="1" s="1"/>
  <c r="AJ54" i="1"/>
  <c r="AK48" i="1" s="1"/>
  <c r="AK49" i="1"/>
  <c r="AK51" i="1"/>
  <c r="AK50" i="1"/>
  <c r="AM38" i="1"/>
  <c r="AH48" i="1"/>
  <c r="AH54" i="1" s="1"/>
  <c r="AH43" i="1"/>
  <c r="AI46" i="1" s="1"/>
  <c r="AH30" i="1"/>
  <c r="AH23" i="1"/>
  <c r="AI26" i="1" s="1"/>
  <c r="AH18" i="1"/>
  <c r="AI21" i="1" s="1"/>
  <c r="AH13" i="1"/>
  <c r="AI16" i="1" s="1"/>
  <c r="AH48" i="3"/>
  <c r="AH43" i="3"/>
  <c r="AH30" i="3"/>
  <c r="AH23" i="3"/>
  <c r="AH18" i="3"/>
  <c r="AH13" i="3"/>
  <c r="AK18" i="3" l="1"/>
  <c r="AK23" i="3"/>
  <c r="AM56" i="1"/>
  <c r="AK13" i="3"/>
  <c r="AK43" i="3"/>
  <c r="AH54" i="3"/>
  <c r="AK30" i="3"/>
  <c r="AJ38" i="1"/>
  <c r="AK30" i="1" s="1"/>
  <c r="AK34" i="3"/>
  <c r="AK32" i="3"/>
  <c r="AK28" i="3"/>
  <c r="AK36" i="3"/>
  <c r="AK43" i="1"/>
  <c r="AK13" i="1"/>
  <c r="AK18" i="1"/>
  <c r="AJ56" i="3"/>
  <c r="AK54" i="3" s="1"/>
  <c r="AI45" i="1"/>
  <c r="AI19" i="1"/>
  <c r="AI50" i="1"/>
  <c r="AI20" i="1"/>
  <c r="AI51" i="1"/>
  <c r="AI14" i="1"/>
  <c r="AI24" i="1"/>
  <c r="AI15" i="1"/>
  <c r="AI25" i="1"/>
  <c r="AI48" i="1"/>
  <c r="AI43" i="1"/>
  <c r="AI49" i="1"/>
  <c r="AH12" i="1"/>
  <c r="AI13" i="1" s="1"/>
  <c r="AH12" i="3"/>
  <c r="AF48" i="3"/>
  <c r="AF43" i="3"/>
  <c r="AF30" i="3"/>
  <c r="AF23" i="3"/>
  <c r="AG25" i="3" s="1"/>
  <c r="AF18" i="3"/>
  <c r="AG20" i="3" s="1"/>
  <c r="AF13" i="3"/>
  <c r="AG14" i="3" s="1"/>
  <c r="B4" i="3"/>
  <c r="D13" i="3"/>
  <c r="F13" i="3"/>
  <c r="H13" i="3"/>
  <c r="K13" i="3"/>
  <c r="N13" i="3"/>
  <c r="Q13" i="3"/>
  <c r="T13" i="3"/>
  <c r="U14" i="3" s="1"/>
  <c r="V13" i="3"/>
  <c r="W16" i="3" s="1"/>
  <c r="X13" i="3"/>
  <c r="Z13" i="3"/>
  <c r="AA15" i="3" s="1"/>
  <c r="AB13" i="3"/>
  <c r="AD13" i="3"/>
  <c r="AE15" i="3" s="1"/>
  <c r="J14" i="3"/>
  <c r="J15" i="3"/>
  <c r="M15" i="3"/>
  <c r="P15" i="3"/>
  <c r="S15" i="3"/>
  <c r="J16" i="3"/>
  <c r="M16" i="3"/>
  <c r="P16" i="3"/>
  <c r="S16" i="3"/>
  <c r="D18" i="3"/>
  <c r="F18" i="3"/>
  <c r="H18" i="3"/>
  <c r="K18" i="3"/>
  <c r="N18" i="3"/>
  <c r="Q18" i="3"/>
  <c r="T18" i="3"/>
  <c r="U19" i="3" s="1"/>
  <c r="V18" i="3"/>
  <c r="X18" i="3"/>
  <c r="Y20" i="3" s="1"/>
  <c r="Z18" i="3"/>
  <c r="AA20" i="3" s="1"/>
  <c r="AB18" i="3"/>
  <c r="AD18" i="3"/>
  <c r="J19" i="3"/>
  <c r="M19" i="3"/>
  <c r="P19" i="3"/>
  <c r="S19" i="3"/>
  <c r="J20" i="3"/>
  <c r="M20" i="3"/>
  <c r="P20" i="3"/>
  <c r="S20" i="3"/>
  <c r="J21" i="3"/>
  <c r="M21" i="3"/>
  <c r="P21" i="3"/>
  <c r="S21" i="3"/>
  <c r="Y21" i="3"/>
  <c r="D23" i="3"/>
  <c r="F23" i="3"/>
  <c r="H23" i="3"/>
  <c r="K23" i="3"/>
  <c r="N23" i="3"/>
  <c r="Q23" i="3"/>
  <c r="T23" i="3"/>
  <c r="U24" i="3" s="1"/>
  <c r="V23" i="3"/>
  <c r="X23" i="3"/>
  <c r="Y25" i="3" s="1"/>
  <c r="Z23" i="3"/>
  <c r="AA25" i="3" s="1"/>
  <c r="AB23" i="3"/>
  <c r="AD23" i="3"/>
  <c r="J24" i="3"/>
  <c r="M24" i="3"/>
  <c r="P24" i="3"/>
  <c r="S24" i="3"/>
  <c r="Y24" i="3"/>
  <c r="J25" i="3"/>
  <c r="M25" i="3"/>
  <c r="P25" i="3"/>
  <c r="S25" i="3"/>
  <c r="J26" i="3"/>
  <c r="M26" i="3"/>
  <c r="P26" i="3"/>
  <c r="S26" i="3"/>
  <c r="J28" i="3"/>
  <c r="M28" i="3"/>
  <c r="P28" i="3"/>
  <c r="S28" i="3"/>
  <c r="J30" i="3"/>
  <c r="M30" i="3"/>
  <c r="P30" i="3"/>
  <c r="Q30" i="3"/>
  <c r="S30" i="3" s="1"/>
  <c r="T30" i="3"/>
  <c r="V30" i="3"/>
  <c r="X30" i="3"/>
  <c r="Z30" i="3"/>
  <c r="AB30" i="3"/>
  <c r="AD30" i="3"/>
  <c r="J32" i="3"/>
  <c r="M32" i="3"/>
  <c r="P32" i="3"/>
  <c r="S32" i="3"/>
  <c r="J34" i="3"/>
  <c r="M34" i="3"/>
  <c r="P34" i="3"/>
  <c r="S34" i="3"/>
  <c r="J36" i="3"/>
  <c r="M36" i="3"/>
  <c r="P36" i="3"/>
  <c r="S36" i="3"/>
  <c r="D43" i="3"/>
  <c r="H43" i="3"/>
  <c r="K43" i="3"/>
  <c r="N43" i="3"/>
  <c r="Q43" i="3"/>
  <c r="S43" i="3" s="1"/>
  <c r="T43" i="3"/>
  <c r="U46" i="3" s="1"/>
  <c r="V43" i="3"/>
  <c r="W46" i="3" s="1"/>
  <c r="X43" i="3"/>
  <c r="Y45" i="3" s="1"/>
  <c r="Z43" i="3"/>
  <c r="AA46" i="3" s="1"/>
  <c r="AB43" i="3"/>
  <c r="AD43" i="3"/>
  <c r="AE45" i="3" s="1"/>
  <c r="J45" i="3"/>
  <c r="M45" i="3"/>
  <c r="P45" i="3"/>
  <c r="S45" i="3"/>
  <c r="J46" i="3"/>
  <c r="M46" i="3"/>
  <c r="P46" i="3"/>
  <c r="S46" i="3"/>
  <c r="D48" i="3"/>
  <c r="F48" i="3"/>
  <c r="F54" i="3" s="1"/>
  <c r="H48" i="3"/>
  <c r="K48" i="3"/>
  <c r="N48" i="3"/>
  <c r="Q48" i="3"/>
  <c r="T48" i="3"/>
  <c r="U49" i="3" s="1"/>
  <c r="V48" i="3"/>
  <c r="X48" i="3"/>
  <c r="Y51" i="3" s="1"/>
  <c r="Z48" i="3"/>
  <c r="AA50" i="3" s="1"/>
  <c r="AB48" i="3"/>
  <c r="AD48" i="3"/>
  <c r="AE49" i="3" s="1"/>
  <c r="J49" i="3"/>
  <c r="M49" i="3"/>
  <c r="P49" i="3"/>
  <c r="S49" i="3"/>
  <c r="J50" i="3"/>
  <c r="M50" i="3"/>
  <c r="P50" i="3"/>
  <c r="S50" i="3"/>
  <c r="J51" i="3"/>
  <c r="M51" i="3"/>
  <c r="P51" i="3"/>
  <c r="S51" i="3"/>
  <c r="E56" i="3"/>
  <c r="G56" i="3"/>
  <c r="I56" i="3"/>
  <c r="L56" i="3"/>
  <c r="O56" i="3"/>
  <c r="R56" i="3"/>
  <c r="AF48" i="1"/>
  <c r="AF54" i="1" s="1"/>
  <c r="AF43" i="1"/>
  <c r="AG46" i="1" s="1"/>
  <c r="AF30" i="1"/>
  <c r="AF23" i="1"/>
  <c r="AG24" i="1" s="1"/>
  <c r="AF18" i="1"/>
  <c r="AF13" i="1"/>
  <c r="AG16" i="1" s="1"/>
  <c r="D13" i="1"/>
  <c r="F13" i="1"/>
  <c r="H13" i="1"/>
  <c r="K13" i="1"/>
  <c r="N13" i="1"/>
  <c r="Q13" i="1"/>
  <c r="T13" i="1"/>
  <c r="U15" i="1" s="1"/>
  <c r="V13" i="1"/>
  <c r="X13" i="1"/>
  <c r="Y14" i="1" s="1"/>
  <c r="Z13" i="1"/>
  <c r="AA15" i="1" s="1"/>
  <c r="AB13" i="1"/>
  <c r="AC14" i="1" s="1"/>
  <c r="AD13" i="1"/>
  <c r="M15" i="1"/>
  <c r="P15" i="1"/>
  <c r="S15" i="1"/>
  <c r="M16" i="1"/>
  <c r="P16" i="1"/>
  <c r="S16" i="1"/>
  <c r="D18" i="1"/>
  <c r="F18" i="1"/>
  <c r="H18" i="1"/>
  <c r="K18" i="1"/>
  <c r="N18" i="1"/>
  <c r="Q18" i="1"/>
  <c r="T18" i="1"/>
  <c r="U20" i="1" s="1"/>
  <c r="V18" i="1"/>
  <c r="W19" i="1" s="1"/>
  <c r="X18" i="1"/>
  <c r="Y19" i="1" s="1"/>
  <c r="Z18" i="1"/>
  <c r="AA19" i="1" s="1"/>
  <c r="AB18" i="1"/>
  <c r="AD18" i="1"/>
  <c r="AE21" i="1" s="1"/>
  <c r="J19" i="1"/>
  <c r="M19" i="1"/>
  <c r="P19" i="1"/>
  <c r="S19" i="1"/>
  <c r="J20" i="1"/>
  <c r="M20" i="1"/>
  <c r="P20" i="1"/>
  <c r="S20" i="1"/>
  <c r="J21" i="1"/>
  <c r="M21" i="1"/>
  <c r="P21" i="1"/>
  <c r="S21" i="1"/>
  <c r="AA21" i="1"/>
  <c r="D23" i="1"/>
  <c r="F23" i="1"/>
  <c r="H23" i="1"/>
  <c r="K23" i="1"/>
  <c r="N23" i="1"/>
  <c r="Q23" i="1"/>
  <c r="T23" i="1"/>
  <c r="V23" i="1"/>
  <c r="W24" i="1" s="1"/>
  <c r="X23" i="1"/>
  <c r="Y25" i="1" s="1"/>
  <c r="Z23" i="1"/>
  <c r="AA26" i="1" s="1"/>
  <c r="AB23" i="1"/>
  <c r="AD23" i="1"/>
  <c r="AE24" i="1" s="1"/>
  <c r="J24" i="1"/>
  <c r="M24" i="1"/>
  <c r="P24" i="1"/>
  <c r="S24" i="1"/>
  <c r="J25" i="1"/>
  <c r="M25" i="1"/>
  <c r="P25" i="1"/>
  <c r="S25" i="1"/>
  <c r="J26" i="1"/>
  <c r="M26" i="1"/>
  <c r="P26" i="1"/>
  <c r="S26" i="1"/>
  <c r="J28" i="1"/>
  <c r="M28" i="1"/>
  <c r="P28" i="1"/>
  <c r="S28" i="1"/>
  <c r="J30" i="1"/>
  <c r="M30" i="1"/>
  <c r="P30" i="1"/>
  <c r="Q30" i="1"/>
  <c r="S30" i="1" s="1"/>
  <c r="T30" i="1"/>
  <c r="V30" i="1"/>
  <c r="X30" i="1"/>
  <c r="Z30" i="1"/>
  <c r="AB30" i="1"/>
  <c r="AD30" i="1"/>
  <c r="J32" i="1"/>
  <c r="M32" i="1"/>
  <c r="P32" i="1"/>
  <c r="S32" i="1"/>
  <c r="J34" i="1"/>
  <c r="M34" i="1"/>
  <c r="P34" i="1"/>
  <c r="S34" i="1"/>
  <c r="J36" i="1"/>
  <c r="M36" i="1"/>
  <c r="P36" i="1"/>
  <c r="S36" i="1"/>
  <c r="D43" i="1"/>
  <c r="F43" i="1"/>
  <c r="H43" i="1"/>
  <c r="K43" i="1"/>
  <c r="N43" i="1"/>
  <c r="Q43" i="1"/>
  <c r="T43" i="1"/>
  <c r="U45" i="1" s="1"/>
  <c r="V43" i="1"/>
  <c r="W45" i="1" s="1"/>
  <c r="X43" i="1"/>
  <c r="Y46" i="1" s="1"/>
  <c r="Z43" i="1"/>
  <c r="AA46" i="1" s="1"/>
  <c r="AB43" i="1"/>
  <c r="AC46" i="1" s="1"/>
  <c r="AD43" i="1"/>
  <c r="AE45" i="1" s="1"/>
  <c r="J45" i="1"/>
  <c r="M45" i="1"/>
  <c r="P45" i="1"/>
  <c r="S45" i="1"/>
  <c r="Y45" i="1"/>
  <c r="J46" i="1"/>
  <c r="M46" i="1"/>
  <c r="P46" i="1"/>
  <c r="S46" i="1"/>
  <c r="D48" i="1"/>
  <c r="D54" i="1" s="1"/>
  <c r="F48" i="1"/>
  <c r="F54" i="1" s="1"/>
  <c r="H48" i="1"/>
  <c r="H54" i="1" s="1"/>
  <c r="K48" i="1"/>
  <c r="K54" i="1" s="1"/>
  <c r="N48" i="1"/>
  <c r="Q48" i="1"/>
  <c r="T48" i="1"/>
  <c r="T54" i="1" s="1"/>
  <c r="V48" i="1"/>
  <c r="V54" i="1" s="1"/>
  <c r="X48" i="1"/>
  <c r="Y49" i="1" s="1"/>
  <c r="Z48" i="1"/>
  <c r="Z54" i="1" s="1"/>
  <c r="AB48" i="1"/>
  <c r="AB54" i="1" s="1"/>
  <c r="AD48" i="1"/>
  <c r="AE50" i="1" s="1"/>
  <c r="M49" i="1"/>
  <c r="P49" i="1"/>
  <c r="S49" i="1"/>
  <c r="J50" i="1"/>
  <c r="M50" i="1"/>
  <c r="P50" i="1"/>
  <c r="S50" i="1"/>
  <c r="J51" i="1"/>
  <c r="M51" i="1"/>
  <c r="P51" i="1"/>
  <c r="S51" i="1"/>
  <c r="E56" i="1"/>
  <c r="G56" i="1"/>
  <c r="I56" i="1"/>
  <c r="L56" i="1"/>
  <c r="O56" i="1"/>
  <c r="R56" i="1"/>
  <c r="S48" i="3" l="1"/>
  <c r="AA45" i="3"/>
  <c r="M43" i="3"/>
  <c r="J13" i="1"/>
  <c r="Y20" i="1"/>
  <c r="W26" i="1"/>
  <c r="W25" i="1"/>
  <c r="Y15" i="1"/>
  <c r="AK12" i="1"/>
  <c r="U16" i="1"/>
  <c r="AK28" i="1"/>
  <c r="X54" i="1"/>
  <c r="Y43" i="1" s="1"/>
  <c r="P23" i="1"/>
  <c r="AK34" i="1"/>
  <c r="AJ56" i="1"/>
  <c r="AK54" i="1" s="1"/>
  <c r="AK36" i="1"/>
  <c r="W45" i="3"/>
  <c r="J23" i="3"/>
  <c r="AG15" i="3"/>
  <c r="U16" i="3"/>
  <c r="W21" i="1"/>
  <c r="Y19" i="3"/>
  <c r="U20" i="3"/>
  <c r="W20" i="1"/>
  <c r="AE20" i="1"/>
  <c r="AE19" i="1"/>
  <c r="P48" i="1"/>
  <c r="J43" i="1"/>
  <c r="AA20" i="1"/>
  <c r="AK32" i="1"/>
  <c r="K54" i="3"/>
  <c r="S18" i="3"/>
  <c r="AD54" i="3"/>
  <c r="AE43" i="3" s="1"/>
  <c r="Y26" i="3"/>
  <c r="P18" i="3"/>
  <c r="AF54" i="3"/>
  <c r="AG48" i="3" s="1"/>
  <c r="U50" i="3"/>
  <c r="U51" i="3"/>
  <c r="AB54" i="3"/>
  <c r="U21" i="3"/>
  <c r="D54" i="3"/>
  <c r="U15" i="3"/>
  <c r="M23" i="3"/>
  <c r="AG26" i="3"/>
  <c r="M43" i="1"/>
  <c r="W50" i="1"/>
  <c r="U46" i="1"/>
  <c r="S23" i="1"/>
  <c r="AG15" i="1"/>
  <c r="P13" i="1"/>
  <c r="AG50" i="1"/>
  <c r="AE14" i="3"/>
  <c r="V54" i="3"/>
  <c r="W43" i="3" s="1"/>
  <c r="AE46" i="3"/>
  <c r="AE16" i="3"/>
  <c r="S13" i="3"/>
  <c r="Z54" i="3"/>
  <c r="AA43" i="3" s="1"/>
  <c r="Q54" i="3"/>
  <c r="AA16" i="3"/>
  <c r="AG24" i="3"/>
  <c r="Y46" i="3"/>
  <c r="K12" i="3"/>
  <c r="K38" i="3" s="1"/>
  <c r="K56" i="3" s="1"/>
  <c r="U25" i="3"/>
  <c r="H12" i="3"/>
  <c r="H38" i="3" s="1"/>
  <c r="P48" i="3"/>
  <c r="P23" i="3"/>
  <c r="X12" i="3"/>
  <c r="X38" i="3" s="1"/>
  <c r="AD54" i="1"/>
  <c r="AE43" i="1" s="1"/>
  <c r="AA51" i="1"/>
  <c r="AA24" i="1"/>
  <c r="X12" i="1"/>
  <c r="Y18" i="1" s="1"/>
  <c r="M23" i="1"/>
  <c r="P18" i="1"/>
  <c r="AG51" i="1"/>
  <c r="AA25" i="1"/>
  <c r="S18" i="1"/>
  <c r="AC45" i="1"/>
  <c r="S48" i="1"/>
  <c r="F12" i="1"/>
  <c r="F38" i="1" s="1"/>
  <c r="F56" i="1" s="1"/>
  <c r="AK38" i="3"/>
  <c r="AK56" i="3" s="1"/>
  <c r="AD12" i="1"/>
  <c r="AE18" i="1" s="1"/>
  <c r="Y16" i="3"/>
  <c r="AB12" i="1"/>
  <c r="AB38" i="1" s="1"/>
  <c r="N54" i="1"/>
  <c r="P54" i="1" s="1"/>
  <c r="V12" i="1"/>
  <c r="V38" i="1" s="1"/>
  <c r="W30" i="1" s="1"/>
  <c r="M54" i="1"/>
  <c r="W48" i="1"/>
  <c r="AE16" i="1"/>
  <c r="U14" i="1"/>
  <c r="Q12" i="1"/>
  <c r="Q38" i="1" s="1"/>
  <c r="M48" i="3"/>
  <c r="U45" i="3"/>
  <c r="AB12" i="3"/>
  <c r="AB38" i="3" s="1"/>
  <c r="N12" i="3"/>
  <c r="N38" i="3" s="1"/>
  <c r="AG25" i="1"/>
  <c r="AG48" i="1"/>
  <c r="AG46" i="3"/>
  <c r="AG16" i="3"/>
  <c r="Y50" i="1"/>
  <c r="W16" i="1"/>
  <c r="Y49" i="3"/>
  <c r="J48" i="3"/>
  <c r="Z12" i="3"/>
  <c r="AA23" i="3" s="1"/>
  <c r="M13" i="3"/>
  <c r="AG14" i="1"/>
  <c r="AG26" i="1"/>
  <c r="AG49" i="1"/>
  <c r="AG45" i="3"/>
  <c r="N12" i="1"/>
  <c r="N38" i="1" s="1"/>
  <c r="Y50" i="3"/>
  <c r="Y15" i="3"/>
  <c r="Y14" i="3"/>
  <c r="V12" i="3"/>
  <c r="W34" i="3" s="1"/>
  <c r="U43" i="1"/>
  <c r="AE25" i="1"/>
  <c r="K12" i="1"/>
  <c r="K38" i="1" s="1"/>
  <c r="L12" i="1" s="1"/>
  <c r="M48" i="1"/>
  <c r="S43" i="1"/>
  <c r="AE26" i="1"/>
  <c r="U21" i="1"/>
  <c r="U19" i="1"/>
  <c r="J18" i="1"/>
  <c r="Z12" i="1"/>
  <c r="AA18" i="1" s="1"/>
  <c r="AG43" i="1"/>
  <c r="S23" i="3"/>
  <c r="M18" i="3"/>
  <c r="W15" i="3"/>
  <c r="W14" i="3"/>
  <c r="T12" i="3"/>
  <c r="U23" i="3" s="1"/>
  <c r="F12" i="3"/>
  <c r="F38" i="3" s="1"/>
  <c r="F56" i="3" s="1"/>
  <c r="AG19" i="1"/>
  <c r="AG51" i="3"/>
  <c r="Q54" i="1"/>
  <c r="S54" i="1" s="1"/>
  <c r="J48" i="1"/>
  <c r="P43" i="1"/>
  <c r="J23" i="1"/>
  <c r="M18" i="1"/>
  <c r="AE14" i="1"/>
  <c r="AG45" i="1"/>
  <c r="N54" i="3"/>
  <c r="U26" i="3"/>
  <c r="J18" i="3"/>
  <c r="D12" i="3"/>
  <c r="D38" i="3" s="1"/>
  <c r="AG20" i="1"/>
  <c r="AG49" i="3"/>
  <c r="AG21" i="3"/>
  <c r="Q12" i="3"/>
  <c r="AG21" i="1"/>
  <c r="AG50" i="3"/>
  <c r="AG19" i="3"/>
  <c r="AI23" i="1"/>
  <c r="AI18" i="1"/>
  <c r="AA48" i="1"/>
  <c r="AA49" i="1"/>
  <c r="AC43" i="1"/>
  <c r="T12" i="1"/>
  <c r="U13" i="1" s="1"/>
  <c r="W14" i="1"/>
  <c r="D12" i="1"/>
  <c r="D38" i="1" s="1"/>
  <c r="D56" i="1" s="1"/>
  <c r="H54" i="3"/>
  <c r="J54" i="3" s="1"/>
  <c r="AD12" i="3"/>
  <c r="AE13" i="3" s="1"/>
  <c r="P13" i="3"/>
  <c r="AH38" i="1"/>
  <c r="AH38" i="3"/>
  <c r="S54" i="3"/>
  <c r="AA51" i="3"/>
  <c r="AE50" i="3"/>
  <c r="W50" i="3"/>
  <c r="AA49" i="3"/>
  <c r="AA48" i="3"/>
  <c r="P43" i="3"/>
  <c r="J43" i="3"/>
  <c r="AA26" i="3"/>
  <c r="AE25" i="3"/>
  <c r="AA24" i="3"/>
  <c r="AA21" i="3"/>
  <c r="AE20" i="3"/>
  <c r="AA19" i="3"/>
  <c r="AA14" i="3"/>
  <c r="AE51" i="3"/>
  <c r="W51" i="3"/>
  <c r="W49" i="3"/>
  <c r="AE26" i="3"/>
  <c r="AE24" i="3"/>
  <c r="AE21" i="3"/>
  <c r="AE19" i="3"/>
  <c r="AF12" i="3"/>
  <c r="X54" i="3"/>
  <c r="Y48" i="3" s="1"/>
  <c r="T54" i="3"/>
  <c r="J13" i="3"/>
  <c r="Y13" i="1"/>
  <c r="T38" i="1"/>
  <c r="U12" i="1" s="1"/>
  <c r="J54" i="1"/>
  <c r="AE51" i="1"/>
  <c r="W51" i="1"/>
  <c r="AA50" i="1"/>
  <c r="AE49" i="1"/>
  <c r="W49" i="1"/>
  <c r="AE46" i="1"/>
  <c r="W46" i="1"/>
  <c r="AA45" i="1"/>
  <c r="AA43" i="1"/>
  <c r="W43" i="1"/>
  <c r="Y26" i="1"/>
  <c r="Y24" i="1"/>
  <c r="Y21" i="1"/>
  <c r="Y16" i="1"/>
  <c r="S13" i="1"/>
  <c r="M13" i="1"/>
  <c r="H12" i="1"/>
  <c r="AF12" i="1"/>
  <c r="AG18" i="1" s="1"/>
  <c r="Y51" i="1"/>
  <c r="AA16" i="1"/>
  <c r="AE15" i="1"/>
  <c r="W15" i="1"/>
  <c r="AA14" i="1"/>
  <c r="AG43" i="3" l="1"/>
  <c r="S12" i="3"/>
  <c r="Y48" i="1"/>
  <c r="X38" i="1"/>
  <c r="Y12" i="1" s="1"/>
  <c r="W30" i="3"/>
  <c r="M12" i="3"/>
  <c r="AK38" i="1"/>
  <c r="AK56" i="1" s="1"/>
  <c r="AE48" i="1"/>
  <c r="N56" i="1"/>
  <c r="Q38" i="3"/>
  <c r="Q56" i="3" s="1"/>
  <c r="S56" i="3" s="1"/>
  <c r="U18" i="3"/>
  <c r="U18" i="1"/>
  <c r="P12" i="3"/>
  <c r="AE48" i="3"/>
  <c r="D56" i="3"/>
  <c r="W23" i="3"/>
  <c r="W36" i="3"/>
  <c r="Y12" i="3"/>
  <c r="V38" i="3"/>
  <c r="W12" i="3" s="1"/>
  <c r="W28" i="3"/>
  <c r="W13" i="3"/>
  <c r="W32" i="3"/>
  <c r="W18" i="3"/>
  <c r="AA18" i="3"/>
  <c r="P54" i="3"/>
  <c r="M54" i="3"/>
  <c r="AD38" i="1"/>
  <c r="AE12" i="1" s="1"/>
  <c r="AE13" i="1"/>
  <c r="Y23" i="1"/>
  <c r="W48" i="3"/>
  <c r="Z38" i="3"/>
  <c r="AA12" i="3" s="1"/>
  <c r="Y13" i="3"/>
  <c r="N56" i="3"/>
  <c r="AA13" i="3"/>
  <c r="Y23" i="3"/>
  <c r="T38" i="3"/>
  <c r="U12" i="3" s="1"/>
  <c r="Y18" i="3"/>
  <c r="U13" i="3"/>
  <c r="E12" i="1"/>
  <c r="S38" i="1"/>
  <c r="Z38" i="1"/>
  <c r="AA30" i="1" s="1"/>
  <c r="O12" i="1"/>
  <c r="J12" i="3"/>
  <c r="AA13" i="1"/>
  <c r="AA23" i="1"/>
  <c r="J38" i="3"/>
  <c r="AI28" i="1"/>
  <c r="AI34" i="1"/>
  <c r="AI36" i="1"/>
  <c r="AI32" i="1"/>
  <c r="AH56" i="1"/>
  <c r="AI54" i="1" s="1"/>
  <c r="AI30" i="1"/>
  <c r="AG13" i="3"/>
  <c r="AE23" i="1"/>
  <c r="AG23" i="1"/>
  <c r="AD38" i="3"/>
  <c r="AE18" i="3" s="1"/>
  <c r="AI12" i="1"/>
  <c r="S12" i="1"/>
  <c r="P12" i="1"/>
  <c r="AG13" i="1"/>
  <c r="AH56" i="3"/>
  <c r="AI54" i="3" s="1"/>
  <c r="AF38" i="3"/>
  <c r="AG12" i="3" s="1"/>
  <c r="U48" i="3"/>
  <c r="M38" i="3"/>
  <c r="Y28" i="3"/>
  <c r="Y30" i="3"/>
  <c r="Y34" i="3"/>
  <c r="Y32" i="3"/>
  <c r="Y36" i="3"/>
  <c r="X56" i="3"/>
  <c r="AA38" i="3" s="1"/>
  <c r="Y43" i="3"/>
  <c r="U43" i="3"/>
  <c r="AB56" i="3"/>
  <c r="AC54" i="3" s="1"/>
  <c r="P38" i="3"/>
  <c r="H56" i="3"/>
  <c r="J56" i="3" s="1"/>
  <c r="AF38" i="1"/>
  <c r="AG12" i="1" s="1"/>
  <c r="M12" i="1"/>
  <c r="W28" i="1"/>
  <c r="W34" i="1"/>
  <c r="W32" i="1"/>
  <c r="W36" i="1"/>
  <c r="V56" i="1"/>
  <c r="W54" i="1" s="1"/>
  <c r="K56" i="1"/>
  <c r="U34" i="1"/>
  <c r="U32" i="1"/>
  <c r="U36" i="1"/>
  <c r="T56" i="1"/>
  <c r="U54" i="1" s="1"/>
  <c r="U28" i="1"/>
  <c r="Y30" i="1"/>
  <c r="R12" i="1"/>
  <c r="Q56" i="1"/>
  <c r="AB56" i="1"/>
  <c r="AC54" i="1" s="1"/>
  <c r="J12" i="1"/>
  <c r="H38" i="1"/>
  <c r="G12" i="1"/>
  <c r="U30" i="1"/>
  <c r="Y34" i="1" l="1"/>
  <c r="Y28" i="1"/>
  <c r="X56" i="1"/>
  <c r="Y54" i="1" s="1"/>
  <c r="Y36" i="1"/>
  <c r="Y32" i="1"/>
  <c r="AE32" i="1"/>
  <c r="S38" i="3"/>
  <c r="AE36" i="3"/>
  <c r="AE28" i="3"/>
  <c r="AE30" i="3"/>
  <c r="AA32" i="3"/>
  <c r="AE32" i="3"/>
  <c r="AE34" i="1"/>
  <c r="AE30" i="1"/>
  <c r="AD56" i="1"/>
  <c r="AE38" i="1" s="1"/>
  <c r="AE28" i="1"/>
  <c r="AE36" i="1"/>
  <c r="AA36" i="3"/>
  <c r="V56" i="3"/>
  <c r="Y38" i="3" s="1"/>
  <c r="U28" i="3"/>
  <c r="U36" i="3"/>
  <c r="AE23" i="3"/>
  <c r="U30" i="3"/>
  <c r="AA30" i="3"/>
  <c r="Z56" i="3"/>
  <c r="AA54" i="3" s="1"/>
  <c r="AA56" i="3" s="1"/>
  <c r="AA34" i="3"/>
  <c r="T56" i="3"/>
  <c r="U54" i="3" s="1"/>
  <c r="U34" i="3"/>
  <c r="AA28" i="3"/>
  <c r="AE34" i="3"/>
  <c r="U32" i="3"/>
  <c r="AA36" i="1"/>
  <c r="AA32" i="1"/>
  <c r="Z56" i="1"/>
  <c r="AA54" i="1" s="1"/>
  <c r="AA34" i="1"/>
  <c r="AA28" i="1"/>
  <c r="W38" i="1"/>
  <c r="W56" i="1" s="1"/>
  <c r="AG32" i="3"/>
  <c r="AG34" i="3"/>
  <c r="AG36" i="3"/>
  <c r="AG28" i="3"/>
  <c r="AG23" i="3"/>
  <c r="AG30" i="3"/>
  <c r="Y38" i="1"/>
  <c r="Y56" i="1" s="1"/>
  <c r="AG36" i="1"/>
  <c r="AG34" i="1"/>
  <c r="AG32" i="1"/>
  <c r="AG28" i="1"/>
  <c r="AG30" i="1"/>
  <c r="AC38" i="1"/>
  <c r="AC56" i="1" s="1"/>
  <c r="AD56" i="3"/>
  <c r="AE38" i="3" s="1"/>
  <c r="AA12" i="1"/>
  <c r="AI38" i="1"/>
  <c r="AI56" i="1" s="1"/>
  <c r="AI38" i="3"/>
  <c r="AI56" i="3" s="1"/>
  <c r="M56" i="3"/>
  <c r="P56" i="3"/>
  <c r="AC38" i="3"/>
  <c r="AC56" i="3" s="1"/>
  <c r="AF56" i="3"/>
  <c r="AG54" i="3" s="1"/>
  <c r="H56" i="1"/>
  <c r="M56" i="1" s="1"/>
  <c r="J38" i="1"/>
  <c r="S56" i="1"/>
  <c r="AF56" i="1"/>
  <c r="AG54" i="1" s="1"/>
  <c r="U38" i="1"/>
  <c r="U56" i="1" s="1"/>
  <c r="M38" i="1"/>
  <c r="P38" i="1"/>
  <c r="AE54" i="1" l="1"/>
  <c r="AE56" i="1" s="1"/>
  <c r="Y54" i="3"/>
  <c r="Y56" i="3" s="1"/>
  <c r="W38" i="3"/>
  <c r="W54" i="3"/>
  <c r="U38" i="3"/>
  <c r="U56" i="3" s="1"/>
  <c r="AA38" i="1"/>
  <c r="AA56" i="1" s="1"/>
  <c r="AG38" i="3"/>
  <c r="AG56" i="3" s="1"/>
  <c r="AG38" i="1"/>
  <c r="AG56" i="1" s="1"/>
  <c r="AE54" i="3"/>
  <c r="AE56" i="3" s="1"/>
  <c r="J56" i="1"/>
  <c r="P56" i="1"/>
  <c r="W56" i="3" l="1"/>
  <c r="AV18" i="1"/>
  <c r="AV23" i="1"/>
  <c r="AV43" i="1"/>
  <c r="AV48" i="1"/>
  <c r="AW49" i="1" l="1"/>
  <c r="AW51" i="1"/>
  <c r="AW50" i="1"/>
  <c r="AW46" i="1"/>
  <c r="AW45" i="1"/>
  <c r="AW24" i="1"/>
  <c r="AW26" i="1"/>
  <c r="AW25" i="1"/>
  <c r="AW19" i="1"/>
  <c r="AW21" i="1"/>
  <c r="AW20" i="1"/>
  <c r="U49" i="1"/>
  <c r="AC50" i="1"/>
  <c r="AC49" i="1"/>
  <c r="AC51" i="1"/>
  <c r="U50" i="1"/>
  <c r="U51" i="1"/>
  <c r="AC24" i="1"/>
  <c r="U24" i="1"/>
  <c r="U25" i="1"/>
  <c r="AC25" i="1"/>
  <c r="AC26" i="1"/>
  <c r="U26" i="1"/>
  <c r="AC21" i="1"/>
  <c r="AC19" i="1"/>
  <c r="AC20" i="1"/>
  <c r="AC16" i="1"/>
  <c r="AC15" i="1"/>
  <c r="AV54" i="1"/>
  <c r="AV12" i="1"/>
  <c r="AV38" i="1" l="1"/>
  <c r="AW13" i="1"/>
  <c r="AW48" i="1"/>
  <c r="AW43" i="1"/>
  <c r="AW18" i="1"/>
  <c r="AW23" i="1"/>
  <c r="U48" i="1"/>
  <c r="AC48" i="1"/>
  <c r="AC13" i="1"/>
  <c r="U23" i="1"/>
  <c r="W18" i="1"/>
  <c r="AC18" i="1"/>
  <c r="W23" i="1"/>
  <c r="AC23" i="1"/>
  <c r="W13" i="1"/>
  <c r="AY12" i="1" l="1"/>
  <c r="AW12" i="1"/>
  <c r="AW30" i="1"/>
  <c r="AO12" i="1"/>
  <c r="AW32" i="1"/>
  <c r="AW28" i="1"/>
  <c r="AW36" i="1"/>
  <c r="AW34" i="1"/>
  <c r="AC32" i="1"/>
  <c r="AC28" i="1"/>
  <c r="AC34" i="1"/>
  <c r="AC36" i="1"/>
  <c r="W12" i="1"/>
  <c r="AC12" i="1"/>
  <c r="AC30" i="1"/>
  <c r="AV56" i="1"/>
  <c r="AW38" i="1" l="1"/>
  <c r="AW54" i="1"/>
  <c r="AV48" i="3"/>
  <c r="AW51" i="3" l="1"/>
  <c r="AW56" i="1"/>
  <c r="AI49" i="3"/>
  <c r="AI50" i="3"/>
  <c r="AI51" i="3"/>
  <c r="AC51" i="3"/>
  <c r="AC50" i="3"/>
  <c r="AC49" i="3"/>
  <c r="AW50" i="3"/>
  <c r="AW49" i="3"/>
  <c r="AV43" i="3"/>
  <c r="AI46" i="3" l="1"/>
  <c r="AI45" i="3"/>
  <c r="AC46" i="3"/>
  <c r="AC45" i="3"/>
  <c r="AW45" i="3"/>
  <c r="AW46" i="3"/>
  <c r="AV54" i="3" l="1"/>
  <c r="AV23" i="3"/>
  <c r="AV18" i="3"/>
  <c r="AV13" i="3"/>
  <c r="AW26" i="3" l="1"/>
  <c r="AW14" i="3"/>
  <c r="AI48" i="3"/>
  <c r="AI43" i="3"/>
  <c r="AI26" i="3"/>
  <c r="AI25" i="3"/>
  <c r="AI24" i="3"/>
  <c r="AI19" i="3"/>
  <c r="AI21" i="3"/>
  <c r="AI20" i="3"/>
  <c r="AI16" i="3"/>
  <c r="AI15" i="3"/>
  <c r="AI14" i="3"/>
  <c r="AC48" i="3"/>
  <c r="AC43" i="3"/>
  <c r="W24" i="3"/>
  <c r="W25" i="3"/>
  <c r="W26" i="3"/>
  <c r="AC24" i="3"/>
  <c r="AC25" i="3"/>
  <c r="AC26" i="3"/>
  <c r="W19" i="3"/>
  <c r="W20" i="3"/>
  <c r="W21" i="3"/>
  <c r="AC19" i="3"/>
  <c r="AC20" i="3"/>
  <c r="AC21" i="3"/>
  <c r="AC14" i="3"/>
  <c r="AC16" i="3"/>
  <c r="AC15" i="3"/>
  <c r="AW43" i="3"/>
  <c r="AW24" i="3"/>
  <c r="AW25" i="3"/>
  <c r="AW15" i="3"/>
  <c r="AW16" i="3"/>
  <c r="AW48" i="3"/>
  <c r="AW20" i="3"/>
  <c r="AW19" i="3"/>
  <c r="AW21" i="3"/>
  <c r="AV12" i="3"/>
  <c r="AW13" i="3" l="1"/>
  <c r="AW23" i="3"/>
  <c r="AW18" i="3"/>
  <c r="AI13" i="3"/>
  <c r="AI18" i="3"/>
  <c r="AI23" i="3"/>
  <c r="AC13" i="3"/>
  <c r="AC18" i="3"/>
  <c r="AG18" i="3"/>
  <c r="AC23" i="3"/>
  <c r="AV38" i="3"/>
  <c r="AW36" i="3" l="1"/>
  <c r="AW34" i="3"/>
  <c r="AW32" i="3"/>
  <c r="AW30" i="3"/>
  <c r="AW28" i="3"/>
  <c r="AW12" i="3"/>
  <c r="AO12" i="3"/>
  <c r="AI34" i="3"/>
  <c r="AI28" i="3"/>
  <c r="AI32" i="3"/>
  <c r="AI30" i="3"/>
  <c r="AI36" i="3"/>
  <c r="AI12" i="3"/>
  <c r="AC32" i="3"/>
  <c r="AC34" i="3"/>
  <c r="AC30" i="3"/>
  <c r="AC36" i="3"/>
  <c r="AC28" i="3"/>
  <c r="AE12" i="3"/>
  <c r="AC12" i="3"/>
  <c r="AV56" i="3"/>
  <c r="BB56" i="3" s="1"/>
  <c r="AW38" i="3" l="1"/>
  <c r="AW54" i="3"/>
  <c r="AW5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Mitxy Yannith Rivera Cordero</author>
  </authors>
  <commentList>
    <comment ref="A3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Mitxy Yannith Rivera Cordero:</t>
        </r>
        <r>
          <rPr>
            <sz val="9"/>
            <color indexed="81"/>
            <rFont val="Tahoma"/>
            <family val="2"/>
          </rPr>
          <t xml:space="preserve">
En esta línea se debe sumar el saldo de la deuda con la CCSS según convenio vigente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Beatriz Hernandez Hernandez</author>
    <author>Mitxy Yannith Rivera Cordero</author>
    <author>Karen Rojas Madrigal</author>
  </authors>
  <commentList>
    <comment ref="AQ24" authorId="0" shapeId="0" xr:uid="{7A4F8BFB-EF6B-492D-B0FA-86D83A536221}">
      <text>
        <r>
          <rPr>
            <b/>
            <sz val="9"/>
            <color indexed="81"/>
            <rFont val="Tahoma"/>
            <family val="2"/>
          </rPr>
          <t>Ana Beatriz Hernandez Hernandez:</t>
        </r>
        <r>
          <rPr>
            <sz val="9"/>
            <color indexed="81"/>
            <rFont val="Tahoma"/>
            <family val="2"/>
          </rPr>
          <t xml:space="preserve">
suma 98</t>
        </r>
      </text>
    </comment>
    <comment ref="A30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Mitxy Yannith Rivera Cordero:</t>
        </r>
        <r>
          <rPr>
            <sz val="9"/>
            <color indexed="81"/>
            <rFont val="Tahoma"/>
            <family val="2"/>
          </rPr>
          <t xml:space="preserve">
En esta línea se debe sumar el saldo de la deuda con la CCSS según convenio vigente</t>
        </r>
      </text>
    </comment>
    <comment ref="BX49" authorId="2" shapeId="0" xr:uid="{6163766C-24CC-4B14-BE15-FE3FF43CBA75}">
      <text>
        <r>
          <rPr>
            <b/>
            <sz val="9"/>
            <color indexed="81"/>
            <rFont val="Tahoma"/>
            <family val="2"/>
          </rPr>
          <t>Karen Rojas Madrigal:</t>
        </r>
        <r>
          <rPr>
            <sz val="9"/>
            <color indexed="81"/>
            <rFont val="Tahoma"/>
            <family val="2"/>
          </rPr>
          <t xml:space="preserve">
No residentes línea c47</t>
        </r>
      </text>
    </comment>
  </commentList>
</comments>
</file>

<file path=xl/sharedStrings.xml><?xml version="1.0" encoding="utf-8"?>
<sst xmlns="http://schemas.openxmlformats.org/spreadsheetml/2006/main" count="272" uniqueCount="85">
  <si>
    <t>Deuda  Interna</t>
  </si>
  <si>
    <t>Residentes</t>
  </si>
  <si>
    <t>Sistema Financiero</t>
  </si>
  <si>
    <t>Otras Sociedades de depósito bancario</t>
  </si>
  <si>
    <t>Otras Sociedades financieras</t>
  </si>
  <si>
    <t>Sector Financiero No Bancario</t>
  </si>
  <si>
    <t>Sector Público No Financiero</t>
  </si>
  <si>
    <t>No Residentes</t>
  </si>
  <si>
    <t>Total Deuda Interna</t>
  </si>
  <si>
    <t>Deuda  Externa</t>
  </si>
  <si>
    <t>Total Deuda Externa</t>
  </si>
  <si>
    <t>Total Deuda del Gobierno Central</t>
  </si>
  <si>
    <t>Fuente: Construcción propia con datos del Banco Central de Costa Rica</t>
  </si>
  <si>
    <t xml:space="preserve">Deuda  </t>
  </si>
  <si>
    <t xml:space="preserve">     Bancos Públicos</t>
  </si>
  <si>
    <t xml:space="preserve">     Bancos Privados</t>
  </si>
  <si>
    <t xml:space="preserve">     Cooperativas</t>
  </si>
  <si>
    <t xml:space="preserve">     Financieras</t>
  </si>
  <si>
    <t xml:space="preserve">     Mutuales</t>
  </si>
  <si>
    <t xml:space="preserve">     Fondos de inversión</t>
  </si>
  <si>
    <t xml:space="preserve">     Fondos de Pensiones </t>
  </si>
  <si>
    <t xml:space="preserve">     Banco Central</t>
  </si>
  <si>
    <t>Notas:</t>
  </si>
  <si>
    <t>Sector Privado</t>
  </si>
  <si>
    <t>Otras Sociedades de depósito No bancario</t>
  </si>
  <si>
    <t>1- No incluye el INS.</t>
  </si>
  <si>
    <t>Al 30-09-2016</t>
  </si>
  <si>
    <t>Peso             %</t>
  </si>
  <si>
    <t>Al 31-12-2016</t>
  </si>
  <si>
    <t>Variación</t>
  </si>
  <si>
    <t>3-La información se prepara con cortes trimestrales.</t>
  </si>
  <si>
    <t>En Millones de Colones</t>
  </si>
  <si>
    <t>Deuda</t>
  </si>
  <si>
    <t>2- Incluye instituciones descentralizadas no empresariales y empresas públicas no financieras nacionales</t>
  </si>
  <si>
    <t>Al 31-03-2017</t>
  </si>
  <si>
    <t>Acreedores externos bilaterales</t>
  </si>
  <si>
    <t>Acreedores externos multilaterales</t>
  </si>
  <si>
    <t>TENENCIA DE LA DEUDA DEL GOBIERNO CENTRAL</t>
  </si>
  <si>
    <t>Al 30-09-2017</t>
  </si>
  <si>
    <t>Al 30-06-2017</t>
  </si>
  <si>
    <t>Al 31-12-2017</t>
  </si>
  <si>
    <t>Al 31-03-2018</t>
  </si>
  <si>
    <t>Al 30-06-2018</t>
  </si>
  <si>
    <t>Al 30-09-2018</t>
  </si>
  <si>
    <t>Al 31-12-2018</t>
  </si>
  <si>
    <t>Al 31-03-2019</t>
  </si>
  <si>
    <t>Al 30-06-2019</t>
  </si>
  <si>
    <t>Al 30-09-2019</t>
  </si>
  <si>
    <t>Al 31-12-2019</t>
  </si>
  <si>
    <t>Al 31-03-2020</t>
  </si>
  <si>
    <t>Al 30-06-2020</t>
  </si>
  <si>
    <t>Al 30-09-2020</t>
  </si>
  <si>
    <t>Al 31-12-2020</t>
  </si>
  <si>
    <t>Al 31-03-2021</t>
  </si>
  <si>
    <t>Al 30-06-2021</t>
  </si>
  <si>
    <t>Al 30-09-2021</t>
  </si>
  <si>
    <t>Al 31-12-2021</t>
  </si>
  <si>
    <t>Al 31-03-2022</t>
  </si>
  <si>
    <t>Al 30-06-2022</t>
  </si>
  <si>
    <t>Al 3-06-2022</t>
  </si>
  <si>
    <t>Al 30-09-2022</t>
  </si>
  <si>
    <t>Al 3-09-2022</t>
  </si>
  <si>
    <t>Al 31-12-2022</t>
  </si>
  <si>
    <t>Al 31-03-2023</t>
  </si>
  <si>
    <t>Al 30-09-2023</t>
  </si>
  <si>
    <t>Al 31-06-2023</t>
  </si>
  <si>
    <t>Al 31-12-2023</t>
  </si>
  <si>
    <r>
      <t xml:space="preserve">     Aseguradoras </t>
    </r>
    <r>
      <rPr>
        <i/>
        <vertAlign val="superscript"/>
        <sz val="10"/>
        <rFont val="HendersonSansW00-BasicLight"/>
      </rPr>
      <t>1</t>
    </r>
  </si>
  <si>
    <r>
      <t xml:space="preserve">Resto del Sector Público </t>
    </r>
    <r>
      <rPr>
        <b/>
        <vertAlign val="superscript"/>
        <sz val="10"/>
        <rFont val="HendersonSansW00-BasicLight"/>
      </rPr>
      <t>2</t>
    </r>
  </si>
  <si>
    <t>Al 31-03-2024</t>
  </si>
  <si>
    <t>En millones de dólares</t>
  </si>
  <si>
    <t>Al 30-06-2024</t>
  </si>
  <si>
    <t>se incluye dentro del Sector Privado.</t>
  </si>
  <si>
    <t>6/  A partir de junio del 2023, no se dispone de la información de los Fondos de Pensión según el detalle necesario; por lo tanto</t>
  </si>
  <si>
    <t>Al 30-09-2024</t>
  </si>
  <si>
    <t>-</t>
  </si>
  <si>
    <t>Al 31-12-2024</t>
  </si>
  <si>
    <t>DIRECCIÓN GENERAL DE GESTION DE LA DEUDA PÚBLICA</t>
  </si>
  <si>
    <t>4/ La Deuda Interna no incluye el monto de primas y descuentos devengados por ¢125.990,60 millones , según metodología exponencial Sistema Gestor.</t>
  </si>
  <si>
    <t>4-La Deuda Interna no incluye el monto de primas y descuentos devengados por $246,30 millones, según metodología exponencial del Sistema Gestor</t>
  </si>
  <si>
    <t xml:space="preserve">5-En la Deuda Externa  no se incluye el monto de intereses devengados por  $444,35 millones </t>
  </si>
  <si>
    <t>DIRECCIÓN GENERAL DE GESTION DE DEUDA PÚBLICA</t>
  </si>
  <si>
    <t>Por trimestre de Setiembre 2016 a Marzo 2025</t>
  </si>
  <si>
    <t>Al 31-03-2025</t>
  </si>
  <si>
    <t xml:space="preserve">5/ En la Deuda Externa  no incluye el monto de intereses devengados por ¢ 8,964,24millones de colones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</si>
</sst>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.0000_);_(* \(#,##0.0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HendersonSansW00-BasicLight"/>
    </font>
    <font>
      <b/>
      <sz val="10"/>
      <name val="HendersonSansW00-BasicLight"/>
    </font>
    <font>
      <b/>
      <sz val="10"/>
      <color theme="0"/>
      <name val="HendersonSansW00-BasicLight"/>
    </font>
    <font>
      <u/>
      <sz val="10"/>
      <name val="HendersonSansW00-BasicLight"/>
    </font>
    <font>
      <u/>
      <sz val="11"/>
      <color theme="1"/>
      <name val="HendersonSansW00-BasicLight"/>
    </font>
    <font>
      <sz val="10"/>
      <name val="HendersonSansW00-BasicLight"/>
    </font>
    <font>
      <i/>
      <sz val="10"/>
      <name val="HendersonSansW00-BasicLight"/>
    </font>
    <font>
      <i/>
      <u/>
      <sz val="10"/>
      <name val="HendersonSansW00-BasicLight"/>
    </font>
    <font>
      <i/>
      <vertAlign val="superscript"/>
      <sz val="10"/>
      <name val="HendersonSansW00-BasicLight"/>
    </font>
    <font>
      <b/>
      <vertAlign val="superscript"/>
      <sz val="10"/>
      <name val="HendersonSansW00-BasicLight"/>
    </font>
    <font>
      <sz val="8"/>
      <name val="HendersonSansW00-BasicLight"/>
    </font>
    <font>
      <sz val="11"/>
      <color theme="0"/>
      <name val="HendersonSansW00-BasicLight"/>
    </font>
    <font>
      <sz val="11"/>
      <name val="HendersonSansW00-BasicLigh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89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05">
    <xf numFmtId="0" fontId="0" fillId="0" borderId="0" xfId="0"/>
    <xf numFmtId="0" fontId="5" fillId="2" borderId="0" xfId="0" applyFont="1" applyFill="1"/>
    <xf numFmtId="9" fontId="5" fillId="2" borderId="0" xfId="2" applyFont="1" applyFill="1"/>
    <xf numFmtId="165" fontId="5" fillId="2" borderId="0" xfId="2" applyNumberFormat="1" applyFont="1" applyFill="1"/>
    <xf numFmtId="0" fontId="5" fillId="0" borderId="0" xfId="0" applyFont="1"/>
    <xf numFmtId="14" fontId="6" fillId="2" borderId="0" xfId="0" applyNumberFormat="1" applyFont="1" applyFill="1" applyAlignment="1">
      <alignment horizontal="center"/>
    </xf>
    <xf numFmtId="166" fontId="5" fillId="0" borderId="0" xfId="1" applyNumberFormat="1" applyFont="1"/>
    <xf numFmtId="14" fontId="7" fillId="3" borderId="1" xfId="0" applyNumberFormat="1" applyFont="1" applyFill="1" applyBorder="1" applyAlignment="1">
      <alignment horizontal="center" vertical="center" wrapText="1"/>
    </xf>
    <xf numFmtId="9" fontId="7" fillId="3" borderId="1" xfId="2" applyFont="1" applyFill="1" applyBorder="1" applyAlignment="1">
      <alignment horizontal="center" vertical="center" wrapText="1"/>
    </xf>
    <xf numFmtId="165" fontId="7" fillId="3" borderId="1" xfId="2" applyNumberFormat="1" applyFont="1" applyFill="1" applyBorder="1" applyAlignment="1">
      <alignment horizontal="center" vertical="center" wrapText="1"/>
    </xf>
    <xf numFmtId="9" fontId="6" fillId="2" borderId="0" xfId="2" applyFont="1" applyFill="1" applyBorder="1" applyAlignment="1">
      <alignment horizontal="center"/>
    </xf>
    <xf numFmtId="165" fontId="6" fillId="2" borderId="0" xfId="2" applyNumberFormat="1" applyFont="1" applyFill="1" applyBorder="1" applyAlignment="1">
      <alignment horizontal="center"/>
    </xf>
    <xf numFmtId="1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164" fontId="5" fillId="2" borderId="0" xfId="1" applyFont="1" applyFill="1"/>
    <xf numFmtId="10" fontId="5" fillId="2" borderId="0" xfId="2" applyNumberFormat="1" applyFont="1" applyFill="1"/>
    <xf numFmtId="10" fontId="9" fillId="2" borderId="0" xfId="2" applyNumberFormat="1" applyFont="1" applyFill="1"/>
    <xf numFmtId="164" fontId="9" fillId="2" borderId="0" xfId="1" applyFont="1" applyFill="1"/>
    <xf numFmtId="9" fontId="9" fillId="2" borderId="0" xfId="2" applyFont="1" applyFill="1"/>
    <xf numFmtId="0" fontId="10" fillId="2" borderId="0" xfId="0" applyFont="1" applyFill="1"/>
    <xf numFmtId="39" fontId="8" fillId="2" borderId="0" xfId="0" applyNumberFormat="1" applyFont="1" applyFill="1"/>
    <xf numFmtId="164" fontId="8" fillId="2" borderId="0" xfId="1" applyFont="1" applyFill="1"/>
    <xf numFmtId="0" fontId="11" fillId="2" borderId="0" xfId="0" applyFont="1" applyFill="1"/>
    <xf numFmtId="39" fontId="10" fillId="2" borderId="0" xfId="0" applyNumberFormat="1" applyFont="1" applyFill="1"/>
    <xf numFmtId="164" fontId="10" fillId="2" borderId="0" xfId="1" applyFont="1" applyFill="1"/>
    <xf numFmtId="164" fontId="11" fillId="2" borderId="0" xfId="1" applyFont="1" applyFill="1"/>
    <xf numFmtId="39" fontId="12" fillId="2" borderId="0" xfId="0" applyNumberFormat="1" applyFont="1" applyFill="1"/>
    <xf numFmtId="164" fontId="12" fillId="2" borderId="0" xfId="1" applyFont="1" applyFill="1"/>
    <xf numFmtId="0" fontId="6" fillId="2" borderId="0" xfId="0" applyFont="1" applyFill="1"/>
    <xf numFmtId="9" fontId="9" fillId="0" borderId="0" xfId="2" applyFont="1" applyFill="1"/>
    <xf numFmtId="9" fontId="5" fillId="0" borderId="0" xfId="2" applyFont="1" applyFill="1"/>
    <xf numFmtId="9" fontId="5" fillId="2" borderId="0" xfId="2" applyFont="1" applyFill="1" applyBorder="1"/>
    <xf numFmtId="164" fontId="5" fillId="2" borderId="0" xfId="1" applyFont="1" applyFill="1" applyBorder="1"/>
    <xf numFmtId="4" fontId="6" fillId="2" borderId="0" xfId="0" applyNumberFormat="1" applyFont="1" applyFill="1"/>
    <xf numFmtId="10" fontId="6" fillId="2" borderId="0" xfId="2" applyNumberFormat="1" applyFont="1" applyFill="1" applyBorder="1"/>
    <xf numFmtId="164" fontId="6" fillId="2" borderId="0" xfId="1" applyFont="1" applyFill="1" applyBorder="1"/>
    <xf numFmtId="9" fontId="6" fillId="2" borderId="0" xfId="2" applyFont="1" applyFill="1" applyBorder="1"/>
    <xf numFmtId="4" fontId="5" fillId="2" borderId="0" xfId="0" applyNumberFormat="1" applyFont="1" applyFill="1"/>
    <xf numFmtId="10" fontId="5" fillId="2" borderId="0" xfId="0" applyNumberFormat="1" applyFont="1" applyFill="1"/>
    <xf numFmtId="164" fontId="5" fillId="2" borderId="0" xfId="0" applyNumberFormat="1" applyFont="1" applyFill="1"/>
    <xf numFmtId="164" fontId="6" fillId="2" borderId="0" xfId="0" applyNumberFormat="1" applyFont="1" applyFill="1"/>
    <xf numFmtId="10" fontId="6" fillId="2" borderId="0" xfId="0" applyNumberFormat="1" applyFont="1" applyFill="1"/>
    <xf numFmtId="164" fontId="6" fillId="2" borderId="0" xfId="1" applyFont="1" applyFill="1"/>
    <xf numFmtId="9" fontId="6" fillId="2" borderId="0" xfId="2" applyFont="1" applyFill="1"/>
    <xf numFmtId="164" fontId="7" fillId="3" borderId="1" xfId="1" applyFont="1" applyFill="1" applyBorder="1" applyAlignment="1">
      <alignment horizontal="center" vertical="center" wrapText="1"/>
    </xf>
    <xf numFmtId="10" fontId="7" fillId="3" borderId="1" xfId="2" applyNumberFormat="1" applyFont="1" applyFill="1" applyBorder="1" applyAlignment="1">
      <alignment horizontal="center" vertical="center"/>
    </xf>
    <xf numFmtId="9" fontId="7" fillId="3" borderId="1" xfId="2" applyFont="1" applyFill="1" applyBorder="1" applyAlignment="1">
      <alignment horizontal="center" vertical="center"/>
    </xf>
    <xf numFmtId="165" fontId="7" fillId="3" borderId="1" xfId="2" applyNumberFormat="1" applyFont="1" applyFill="1" applyBorder="1" applyAlignment="1">
      <alignment horizontal="center" vertical="center"/>
    </xf>
    <xf numFmtId="164" fontId="5" fillId="2" borderId="0" xfId="2" applyNumberFormat="1" applyFont="1" applyFill="1"/>
    <xf numFmtId="43" fontId="5" fillId="0" borderId="0" xfId="0" applyNumberFormat="1" applyFont="1"/>
    <xf numFmtId="0" fontId="15" fillId="2" borderId="0" xfId="0" applyFont="1" applyFill="1"/>
    <xf numFmtId="164" fontId="5" fillId="0" borderId="0" xfId="0" applyNumberFormat="1" applyFont="1"/>
    <xf numFmtId="164" fontId="16" fillId="0" borderId="0" xfId="0" applyNumberFormat="1" applyFont="1"/>
    <xf numFmtId="0" fontId="16" fillId="0" borderId="0" xfId="0" applyFont="1"/>
    <xf numFmtId="9" fontId="5" fillId="0" borderId="0" xfId="2" applyFont="1"/>
    <xf numFmtId="165" fontId="5" fillId="0" borderId="0" xfId="2" applyNumberFormat="1" applyFont="1"/>
    <xf numFmtId="0" fontId="15" fillId="0" borderId="0" xfId="0" applyFont="1"/>
    <xf numFmtId="165" fontId="5" fillId="0" borderId="0" xfId="2" applyNumberFormat="1" applyFont="1" applyFill="1"/>
    <xf numFmtId="14" fontId="7" fillId="2" borderId="0" xfId="0" applyNumberFormat="1" applyFont="1" applyFill="1" applyAlignment="1">
      <alignment vertical="center"/>
    </xf>
    <xf numFmtId="14" fontId="7" fillId="2" borderId="0" xfId="0" applyNumberFormat="1" applyFont="1" applyFill="1" applyAlignment="1">
      <alignment vertical="center" wrapText="1"/>
    </xf>
    <xf numFmtId="9" fontId="7" fillId="2" borderId="0" xfId="2" applyFont="1" applyFill="1" applyBorder="1" applyAlignment="1">
      <alignment vertical="center" wrapText="1"/>
    </xf>
    <xf numFmtId="165" fontId="7" fillId="2" borderId="0" xfId="2" applyNumberFormat="1" applyFont="1" applyFill="1" applyBorder="1" applyAlignment="1">
      <alignment vertical="center" wrapText="1"/>
    </xf>
    <xf numFmtId="164" fontId="6" fillId="2" borderId="0" xfId="1" applyFont="1" applyFill="1" applyBorder="1" applyAlignment="1">
      <alignment horizontal="center"/>
    </xf>
    <xf numFmtId="10" fontId="5" fillId="2" borderId="0" xfId="2" applyNumberFormat="1" applyFont="1" applyFill="1" applyAlignment="1">
      <alignment horizontal="right"/>
    </xf>
    <xf numFmtId="9" fontId="5" fillId="2" borderId="0" xfId="2" applyFont="1" applyFill="1" applyAlignment="1">
      <alignment horizontal="right"/>
    </xf>
    <xf numFmtId="165" fontId="5" fillId="2" borderId="0" xfId="2" applyNumberFormat="1" applyFont="1" applyFill="1" applyAlignment="1">
      <alignment horizontal="right"/>
    </xf>
    <xf numFmtId="10" fontId="9" fillId="2" borderId="0" xfId="2" applyNumberFormat="1" applyFont="1" applyFill="1" applyAlignment="1">
      <alignment horizontal="right"/>
    </xf>
    <xf numFmtId="9" fontId="9" fillId="2" borderId="0" xfId="2" applyFont="1" applyFill="1" applyAlignment="1">
      <alignment horizontal="right"/>
    </xf>
    <xf numFmtId="39" fontId="11" fillId="2" borderId="0" xfId="0" applyNumberFormat="1" applyFont="1" applyFill="1"/>
    <xf numFmtId="9" fontId="5" fillId="0" borderId="0" xfId="2" applyFont="1" applyFill="1" applyAlignment="1">
      <alignment horizontal="right"/>
    </xf>
    <xf numFmtId="10" fontId="5" fillId="2" borderId="0" xfId="2" applyNumberFormat="1" applyFont="1" applyFill="1" applyBorder="1" applyAlignment="1">
      <alignment horizontal="right"/>
    </xf>
    <xf numFmtId="9" fontId="5" fillId="2" borderId="0" xfId="2" applyFont="1" applyFill="1" applyBorder="1" applyAlignment="1">
      <alignment horizontal="right"/>
    </xf>
    <xf numFmtId="10" fontId="6" fillId="2" borderId="0" xfId="2" applyNumberFormat="1" applyFont="1" applyFill="1" applyBorder="1" applyAlignment="1">
      <alignment horizontal="right"/>
    </xf>
    <xf numFmtId="9" fontId="6" fillId="2" borderId="0" xfId="2" applyFont="1" applyFill="1" applyBorder="1" applyAlignment="1">
      <alignment horizontal="right"/>
    </xf>
    <xf numFmtId="165" fontId="5" fillId="0" borderId="0" xfId="2" applyNumberFormat="1" applyFont="1" applyFill="1" applyAlignment="1">
      <alignment horizontal="right"/>
    </xf>
    <xf numFmtId="164" fontId="5" fillId="0" borderId="0" xfId="1" applyFont="1" applyFill="1"/>
    <xf numFmtId="9" fontId="17" fillId="0" borderId="0" xfId="2" applyFont="1" applyFill="1" applyAlignment="1">
      <alignment horizontal="right"/>
    </xf>
    <xf numFmtId="164" fontId="17" fillId="0" borderId="0" xfId="1" applyFont="1" applyFill="1"/>
    <xf numFmtId="10" fontId="6" fillId="2" borderId="0" xfId="2" applyNumberFormat="1" applyFont="1" applyFill="1" applyAlignment="1">
      <alignment horizontal="right"/>
    </xf>
    <xf numFmtId="9" fontId="6" fillId="2" borderId="0" xfId="2" applyFont="1" applyFill="1" applyAlignment="1">
      <alignment horizontal="right"/>
    </xf>
    <xf numFmtId="10" fontId="7" fillId="3" borderId="1" xfId="2" applyNumberFormat="1" applyFont="1" applyFill="1" applyBorder="1" applyAlignment="1">
      <alignment horizontal="right" vertical="center"/>
    </xf>
    <xf numFmtId="9" fontId="7" fillId="3" borderId="1" xfId="2" applyFont="1" applyFill="1" applyBorder="1" applyAlignment="1">
      <alignment horizontal="right" vertical="center"/>
    </xf>
    <xf numFmtId="165" fontId="7" fillId="3" borderId="1" xfId="2" applyNumberFormat="1" applyFont="1" applyFill="1" applyBorder="1" applyAlignment="1">
      <alignment horizontal="right" vertical="center"/>
    </xf>
    <xf numFmtId="164" fontId="5" fillId="0" borderId="0" xfId="1" applyFont="1"/>
    <xf numFmtId="164" fontId="17" fillId="2" borderId="0" xfId="0" applyNumberFormat="1" applyFont="1" applyFill="1"/>
    <xf numFmtId="43" fontId="5" fillId="2" borderId="0" xfId="0" applyNumberFormat="1" applyFont="1" applyFill="1"/>
    <xf numFmtId="43" fontId="17" fillId="2" borderId="0" xfId="0" applyNumberFormat="1" applyFont="1" applyFill="1"/>
    <xf numFmtId="9" fontId="17" fillId="2" borderId="0" xfId="2" applyFont="1" applyFill="1"/>
    <xf numFmtId="164" fontId="16" fillId="0" borderId="0" xfId="1" applyFont="1"/>
    <xf numFmtId="164" fontId="16" fillId="0" borderId="0" xfId="1" applyFont="1" applyFill="1"/>
    <xf numFmtId="43" fontId="16" fillId="0" borderId="0" xfId="0" applyNumberFormat="1" applyFont="1"/>
    <xf numFmtId="0" fontId="17" fillId="0" borderId="0" xfId="0" applyFont="1"/>
    <xf numFmtId="9" fontId="5" fillId="2" borderId="0" xfId="2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165" fontId="5" fillId="0" borderId="0" xfId="0" applyNumberFormat="1" applyFont="1"/>
    <xf numFmtId="10" fontId="5" fillId="0" borderId="0" xfId="2" applyNumberFormat="1" applyFont="1"/>
    <xf numFmtId="0" fontId="5" fillId="2" borderId="0" xfId="0" applyFont="1" applyFill="1" applyAlignment="1">
      <alignment horizontal="center"/>
    </xf>
    <xf numFmtId="14" fontId="6" fillId="2" borderId="0" xfId="0" applyNumberFormat="1" applyFont="1" applyFill="1" applyAlignment="1">
      <alignment horizontal="center"/>
    </xf>
    <xf numFmtId="14" fontId="7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43" fontId="5" fillId="2" borderId="0" xfId="2" applyNumberFormat="1" applyFont="1" applyFill="1" applyAlignment="1">
      <alignment horizontal="right"/>
    </xf>
    <xf numFmtId="43" fontId="9" fillId="2" borderId="0" xfId="2" applyNumberFormat="1" applyFont="1" applyFill="1" applyAlignment="1">
      <alignment horizontal="right"/>
    </xf>
    <xf numFmtId="43" fontId="17" fillId="0" borderId="0" xfId="2" applyNumberFormat="1" applyFont="1" applyFill="1" applyAlignment="1">
      <alignment horizontal="right"/>
    </xf>
  </cellXfs>
  <cellStyles count="5">
    <cellStyle name="Millares" xfId="1" builtinId="3"/>
    <cellStyle name="Millares 2 2" xfId="4" xr:uid="{00000000-0005-0000-0000-000001000000}"/>
    <cellStyle name="Normal" xfId="0" builtinId="0"/>
    <cellStyle name="Normal 2" xfId="3" xr:uid="{00000000-0005-0000-0000-000003000000}"/>
    <cellStyle name="Porcentaje" xfId="2" builtinId="5"/>
  </cellStyles>
  <dxfs count="0"/>
  <tableStyles count="0" defaultTableStyle="TableStyleMedium2" defaultPivotStyle="PivotStyleLight16"/>
  <colors>
    <mruColors>
      <color rgb="FF00589A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0</xdr:row>
      <xdr:rowOff>0</xdr:rowOff>
    </xdr:from>
    <xdr:to>
      <xdr:col>72</xdr:col>
      <xdr:colOff>775063</xdr:colOff>
      <xdr:row>5</xdr:row>
      <xdr:rowOff>91621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A31D708-9F89-45D7-BCF9-A5F1EFDB1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" y="0"/>
          <a:ext cx="3167743" cy="10441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71</xdr:col>
      <xdr:colOff>568476</xdr:colOff>
      <xdr:row>5</xdr:row>
      <xdr:rowOff>70454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864ED8-B2F5-49CC-AA95-EED2F9E20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67743" cy="10441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haciendacr-my.sharepoint.com/personal/hernandezha_hacienda_go_cr/Documents/CREDITO%20PUBLICO%20DEF/BACK%20OFFICE/CIFRAS%20NEED/Marzo%2025/SaldoDeudaPublica.xlsx" TargetMode="External"/><Relationship Id="rId1" Type="http://schemas.openxmlformats.org/officeDocument/2006/relationships/externalLinkPath" Target="/personal/hernandezha_hacienda_go_cr/Documents/CREDITO%20PUBLICO%20DEF/BACK%20OFFICE/CIFRAS%20NEED/Marzo%2025/SaldoDeuda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ldo de Deuda"/>
    </sheetNames>
    <sheetDataSet>
      <sheetData sheetId="0">
        <row r="11">
          <cell r="BD11">
            <v>21835586.757348791</v>
          </cell>
        </row>
        <row r="12">
          <cell r="BD12">
            <v>7696592.8984335847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8"/>
  <sheetViews>
    <sheetView showGridLines="0" topLeftCell="B1" zoomScaleNormal="100" workbookViewId="0">
      <pane xSplit="48" ySplit="7" topLeftCell="CD47" activePane="bottomRight" state="frozen"/>
      <selection activeCell="B1" sqref="B1"/>
      <selection pane="topRight" activeCell="AX1" sqref="AX1"/>
      <selection pane="bottomLeft" activeCell="B8" sqref="B8"/>
      <selection pane="bottomRight" activeCell="CK48" sqref="CK48"/>
    </sheetView>
  </sheetViews>
  <sheetFormatPr baseColWidth="10" defaultRowHeight="15" outlineLevelCol="1" x14ac:dyDescent="0.35"/>
  <cols>
    <col min="1" max="2" width="11.5546875" style="4"/>
    <col min="3" max="3" width="24.6640625" style="4" customWidth="1"/>
    <col min="4" max="4" width="14.5546875" style="4" hidden="1" customWidth="1" outlineLevel="1"/>
    <col min="5" max="5" width="8.5546875" style="4" hidden="1" customWidth="1" outlineLevel="1"/>
    <col min="6" max="6" width="14.5546875" style="4" hidden="1" customWidth="1" outlineLevel="1"/>
    <col min="7" max="7" width="8.5546875" style="4" hidden="1" customWidth="1" outlineLevel="1"/>
    <col min="8" max="8" width="14.5546875" style="4" hidden="1" customWidth="1" outlineLevel="1"/>
    <col min="9" max="9" width="9.109375" style="4" hidden="1" customWidth="1" outlineLevel="1"/>
    <col min="10" max="10" width="9.6640625" style="4" hidden="1" customWidth="1" outlineLevel="1"/>
    <col min="11" max="11" width="14.5546875" style="4" hidden="1" customWidth="1" outlineLevel="1"/>
    <col min="12" max="12" width="8.5546875" style="4" hidden="1" customWidth="1" outlineLevel="1"/>
    <col min="13" max="13" width="9.6640625" style="4" hidden="1" customWidth="1" outlineLevel="1"/>
    <col min="14" max="14" width="14.5546875" style="4" hidden="1" customWidth="1" outlineLevel="1"/>
    <col min="15" max="15" width="9.109375" style="4" hidden="1" customWidth="1" outlineLevel="1"/>
    <col min="16" max="16" width="9.6640625" style="4" hidden="1" customWidth="1" outlineLevel="1"/>
    <col min="17" max="17" width="14.5546875" style="4" hidden="1" customWidth="1" outlineLevel="1"/>
    <col min="18" max="18" width="9.109375" style="4" hidden="1" customWidth="1" outlineLevel="1"/>
    <col min="19" max="19" width="10.33203125" style="4" hidden="1" customWidth="1" outlineLevel="1"/>
    <col min="20" max="20" width="14.5546875" style="4" hidden="1" customWidth="1" outlineLevel="1"/>
    <col min="21" max="21" width="9.109375" style="4" hidden="1" customWidth="1" outlineLevel="1"/>
    <col min="22" max="22" width="14.5546875" style="4" hidden="1" customWidth="1" outlineLevel="1"/>
    <col min="23" max="23" width="9.109375" style="4" hidden="1" customWidth="1" outlineLevel="1"/>
    <col min="24" max="24" width="14.5546875" style="4" hidden="1" customWidth="1" outlineLevel="1"/>
    <col min="25" max="25" width="9.109375" style="4" hidden="1" customWidth="1" outlineLevel="1"/>
    <col min="26" max="26" width="14.5546875" style="4" hidden="1" customWidth="1" outlineLevel="1"/>
    <col min="27" max="27" width="9.109375" style="4" hidden="1" customWidth="1" outlineLevel="1"/>
    <col min="28" max="28" width="14.5546875" style="4" hidden="1" customWidth="1" outlineLevel="1"/>
    <col min="29" max="29" width="9.109375" style="4" hidden="1" customWidth="1" outlineLevel="1"/>
    <col min="30" max="30" width="14.5546875" style="4" hidden="1" customWidth="1" outlineLevel="1"/>
    <col min="31" max="31" width="9.109375" style="4" hidden="1" customWidth="1" outlineLevel="1"/>
    <col min="32" max="32" width="14.5546875" style="4" hidden="1" customWidth="1" outlineLevel="1"/>
    <col min="33" max="33" width="9.109375" style="4" hidden="1" customWidth="1" outlineLevel="1"/>
    <col min="34" max="34" width="14.5546875" style="4" hidden="1" customWidth="1" outlineLevel="1"/>
    <col min="35" max="35" width="9.109375" style="4" hidden="1" customWidth="1" outlineLevel="1"/>
    <col min="36" max="36" width="14.5546875" style="4" hidden="1" customWidth="1" outlineLevel="1"/>
    <col min="37" max="37" width="9.109375" style="4" hidden="1" customWidth="1" outlineLevel="1"/>
    <col min="38" max="38" width="14.5546875" style="4" hidden="1" customWidth="1" outlineLevel="1"/>
    <col min="39" max="39" width="9.109375" style="4" hidden="1" customWidth="1" outlineLevel="1"/>
    <col min="40" max="40" width="14.5546875" style="4" hidden="1" customWidth="1" outlineLevel="1"/>
    <col min="41" max="41" width="9.109375" style="4" hidden="1" customWidth="1" outlineLevel="1"/>
    <col min="42" max="42" width="14.5546875" style="4" hidden="1" customWidth="1" outlineLevel="1" collapsed="1"/>
    <col min="43" max="43" width="9.109375" style="55" hidden="1" customWidth="1" outlineLevel="1"/>
    <col min="44" max="44" width="14.5546875" style="4" hidden="1" customWidth="1" outlineLevel="1"/>
    <col min="45" max="45" width="9.109375" style="55" hidden="1" customWidth="1" outlineLevel="1"/>
    <col min="46" max="46" width="14.5546875" style="4" hidden="1" customWidth="1" outlineLevel="1"/>
    <col min="47" max="47" width="9.109375" style="55" hidden="1" customWidth="1" outlineLevel="1"/>
    <col min="48" max="48" width="14.5546875" style="4" hidden="1" customWidth="1" outlineLevel="1"/>
    <col min="49" max="49" width="9.109375" style="55" hidden="1" customWidth="1" outlineLevel="1"/>
    <col min="50" max="50" width="22.5546875" style="56" hidden="1" customWidth="1" collapsed="1"/>
    <col min="51" max="51" width="8.21875" style="4" hidden="1" customWidth="1"/>
    <col min="52" max="52" width="22.88671875" style="4" hidden="1" customWidth="1"/>
    <col min="53" max="53" width="8.21875" style="4" hidden="1" customWidth="1"/>
    <col min="54" max="54" width="12.6640625" style="4" hidden="1" customWidth="1"/>
    <col min="55" max="55" width="22.6640625" style="4" hidden="1" customWidth="1"/>
    <col min="56" max="56" width="8.21875" style="4" hidden="1" customWidth="1"/>
    <col min="57" max="57" width="12.6640625" style="4" hidden="1" customWidth="1"/>
    <col min="58" max="58" width="23.6640625" style="4" hidden="1" customWidth="1"/>
    <col min="59" max="59" width="8.21875" style="4" hidden="1" customWidth="1"/>
    <col min="60" max="60" width="12.6640625" style="4" hidden="1" customWidth="1"/>
    <col min="61" max="61" width="23.6640625" style="4" hidden="1" customWidth="1"/>
    <col min="62" max="62" width="8.21875" style="4" hidden="1" customWidth="1"/>
    <col min="63" max="63" width="12.6640625" style="4" hidden="1" customWidth="1"/>
    <col min="64" max="64" width="23" style="4" hidden="1" customWidth="1"/>
    <col min="65" max="65" width="8.21875" style="4" hidden="1" customWidth="1"/>
    <col min="66" max="66" width="12.6640625" style="4" hidden="1" customWidth="1"/>
    <col min="67" max="67" width="22.44140625" style="4" hidden="1" customWidth="1"/>
    <col min="68" max="68" width="8.21875" style="4" hidden="1" customWidth="1"/>
    <col min="69" max="69" width="12.6640625" style="4" hidden="1" customWidth="1"/>
    <col min="70" max="70" width="23.5546875" style="4" hidden="1" customWidth="1"/>
    <col min="71" max="71" width="8.21875" style="4" hidden="1" customWidth="1"/>
    <col min="72" max="72" width="12.77734375" style="4" hidden="1" customWidth="1"/>
    <col min="73" max="73" width="22.77734375" style="4" bestFit="1" customWidth="1"/>
    <col min="74" max="74" width="11.5546875" style="4"/>
    <col min="75" max="75" width="12.88671875" style="4" customWidth="1"/>
    <col min="76" max="76" width="23.77734375" style="4" bestFit="1" customWidth="1"/>
    <col min="77" max="77" width="11.5546875" style="4"/>
    <col min="78" max="78" width="12.88671875" style="4" customWidth="1"/>
    <col min="79" max="79" width="29.21875" style="4" customWidth="1"/>
    <col min="80" max="80" width="11.5546875" style="4"/>
    <col min="81" max="81" width="12.88671875" style="4" customWidth="1"/>
    <col min="82" max="82" width="29.21875" style="4" customWidth="1"/>
    <col min="83" max="83" width="11.5546875" style="4"/>
    <col min="84" max="84" width="13.44140625" style="4" customWidth="1"/>
    <col min="85" max="85" width="25.6640625" style="4" customWidth="1"/>
    <col min="86" max="87" width="11.5546875" style="4"/>
    <col min="88" max="88" width="25.6640625" style="4" customWidth="1"/>
    <col min="89" max="90" width="11.5546875" style="4"/>
    <col min="91" max="91" width="18.44140625" style="4" bestFit="1" customWidth="1"/>
    <col min="92" max="16384" width="11.5546875" style="4"/>
  </cols>
  <sheetData>
    <row r="1" spans="2:90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  <c r="AR1" s="1"/>
      <c r="AS1" s="2"/>
      <c r="AT1" s="1"/>
      <c r="AU1" s="2"/>
      <c r="AV1" s="1"/>
      <c r="AW1" s="2"/>
      <c r="AX1" s="3"/>
    </row>
    <row r="2" spans="2:90" x14ac:dyDescent="0.35">
      <c r="B2" s="98" t="s">
        <v>77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</row>
    <row r="3" spans="2:90" x14ac:dyDescent="0.35">
      <c r="B3" s="98" t="s">
        <v>37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</row>
    <row r="4" spans="2:90" x14ac:dyDescent="0.35">
      <c r="B4" s="98" t="s">
        <v>82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</row>
    <row r="5" spans="2:90" x14ac:dyDescent="0.35">
      <c r="B5" s="98" t="s">
        <v>31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</row>
    <row r="6" spans="2:90" x14ac:dyDescent="0.35"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BO6" s="6"/>
    </row>
    <row r="7" spans="2:90" ht="28.8" x14ac:dyDescent="0.35">
      <c r="B7" s="99" t="s">
        <v>32</v>
      </c>
      <c r="C7" s="99"/>
      <c r="D7" s="7" t="s">
        <v>26</v>
      </c>
      <c r="E7" s="7" t="s">
        <v>27</v>
      </c>
      <c r="F7" s="7" t="s">
        <v>28</v>
      </c>
      <c r="G7" s="7" t="s">
        <v>27</v>
      </c>
      <c r="H7" s="7" t="s">
        <v>34</v>
      </c>
      <c r="I7" s="7" t="s">
        <v>27</v>
      </c>
      <c r="J7" s="7" t="s">
        <v>29</v>
      </c>
      <c r="K7" s="7" t="s">
        <v>39</v>
      </c>
      <c r="L7" s="7" t="s">
        <v>27</v>
      </c>
      <c r="M7" s="7" t="s">
        <v>29</v>
      </c>
      <c r="N7" s="7" t="s">
        <v>38</v>
      </c>
      <c r="O7" s="7" t="s">
        <v>27</v>
      </c>
      <c r="P7" s="7" t="s">
        <v>29</v>
      </c>
      <c r="Q7" s="7" t="s">
        <v>40</v>
      </c>
      <c r="R7" s="7" t="s">
        <v>27</v>
      </c>
      <c r="S7" s="7" t="s">
        <v>29</v>
      </c>
      <c r="T7" s="7" t="s">
        <v>41</v>
      </c>
      <c r="U7" s="7" t="s">
        <v>27</v>
      </c>
      <c r="V7" s="7" t="s">
        <v>42</v>
      </c>
      <c r="W7" s="7" t="s">
        <v>27</v>
      </c>
      <c r="X7" s="7" t="s">
        <v>43</v>
      </c>
      <c r="Y7" s="7" t="s">
        <v>27</v>
      </c>
      <c r="Z7" s="7" t="s">
        <v>44</v>
      </c>
      <c r="AA7" s="7" t="s">
        <v>27</v>
      </c>
      <c r="AB7" s="7" t="s">
        <v>45</v>
      </c>
      <c r="AC7" s="7" t="s">
        <v>27</v>
      </c>
      <c r="AD7" s="7" t="s">
        <v>46</v>
      </c>
      <c r="AE7" s="7" t="s">
        <v>27</v>
      </c>
      <c r="AF7" s="7" t="s">
        <v>47</v>
      </c>
      <c r="AG7" s="7" t="s">
        <v>27</v>
      </c>
      <c r="AH7" s="7" t="s">
        <v>48</v>
      </c>
      <c r="AI7" s="7" t="s">
        <v>27</v>
      </c>
      <c r="AJ7" s="7" t="s">
        <v>49</v>
      </c>
      <c r="AK7" s="7" t="s">
        <v>27</v>
      </c>
      <c r="AL7" s="7" t="s">
        <v>50</v>
      </c>
      <c r="AM7" s="7" t="s">
        <v>27</v>
      </c>
      <c r="AN7" s="7" t="s">
        <v>51</v>
      </c>
      <c r="AO7" s="7" t="s">
        <v>27</v>
      </c>
      <c r="AP7" s="7" t="s">
        <v>52</v>
      </c>
      <c r="AQ7" s="8" t="s">
        <v>27</v>
      </c>
      <c r="AR7" s="7" t="s">
        <v>53</v>
      </c>
      <c r="AS7" s="8" t="s">
        <v>27</v>
      </c>
      <c r="AT7" s="7" t="s">
        <v>54</v>
      </c>
      <c r="AU7" s="8" t="s">
        <v>27</v>
      </c>
      <c r="AV7" s="7" t="s">
        <v>55</v>
      </c>
      <c r="AW7" s="8" t="s">
        <v>27</v>
      </c>
      <c r="AX7" s="7" t="s">
        <v>56</v>
      </c>
      <c r="AY7" s="8" t="s">
        <v>27</v>
      </c>
      <c r="AZ7" s="7" t="s">
        <v>57</v>
      </c>
      <c r="BA7" s="8" t="s">
        <v>27</v>
      </c>
      <c r="BB7" s="9" t="s">
        <v>29</v>
      </c>
      <c r="BC7" s="7" t="s">
        <v>58</v>
      </c>
      <c r="BD7" s="8" t="s">
        <v>27</v>
      </c>
      <c r="BE7" s="9" t="s">
        <v>29</v>
      </c>
      <c r="BF7" s="7" t="s">
        <v>60</v>
      </c>
      <c r="BG7" s="8" t="s">
        <v>27</v>
      </c>
      <c r="BH7" s="9" t="s">
        <v>29</v>
      </c>
      <c r="BI7" s="7" t="s">
        <v>62</v>
      </c>
      <c r="BJ7" s="8" t="s">
        <v>27</v>
      </c>
      <c r="BK7" s="9" t="s">
        <v>29</v>
      </c>
      <c r="BL7" s="7" t="s">
        <v>63</v>
      </c>
      <c r="BM7" s="8" t="s">
        <v>27</v>
      </c>
      <c r="BN7" s="9" t="s">
        <v>29</v>
      </c>
      <c r="BO7" s="7" t="s">
        <v>65</v>
      </c>
      <c r="BP7" s="8" t="s">
        <v>27</v>
      </c>
      <c r="BQ7" s="9" t="s">
        <v>29</v>
      </c>
      <c r="BR7" s="7" t="s">
        <v>64</v>
      </c>
      <c r="BS7" s="8" t="s">
        <v>27</v>
      </c>
      <c r="BT7" s="9" t="s">
        <v>29</v>
      </c>
      <c r="BU7" s="7" t="s">
        <v>66</v>
      </c>
      <c r="BV7" s="8" t="s">
        <v>27</v>
      </c>
      <c r="BW7" s="8" t="s">
        <v>29</v>
      </c>
      <c r="BX7" s="7" t="s">
        <v>69</v>
      </c>
      <c r="BY7" s="8" t="s">
        <v>27</v>
      </c>
      <c r="BZ7" s="8" t="s">
        <v>29</v>
      </c>
      <c r="CA7" s="7" t="s">
        <v>71</v>
      </c>
      <c r="CB7" s="8" t="s">
        <v>27</v>
      </c>
      <c r="CC7" s="8" t="s">
        <v>29</v>
      </c>
      <c r="CD7" s="7" t="s">
        <v>74</v>
      </c>
      <c r="CE7" s="8" t="s">
        <v>27</v>
      </c>
      <c r="CF7" s="8" t="s">
        <v>29</v>
      </c>
      <c r="CG7" s="7" t="s">
        <v>76</v>
      </c>
      <c r="CH7" s="8" t="s">
        <v>27</v>
      </c>
      <c r="CI7" s="8" t="s">
        <v>29</v>
      </c>
      <c r="CJ7" s="7" t="s">
        <v>83</v>
      </c>
      <c r="CK7" s="8" t="s">
        <v>27</v>
      </c>
      <c r="CL7" s="8" t="s">
        <v>29</v>
      </c>
    </row>
    <row r="8" spans="2:90" x14ac:dyDescent="0.35">
      <c r="B8" s="1"/>
      <c r="C8" s="5"/>
      <c r="D8" s="1"/>
      <c r="E8" s="5"/>
      <c r="F8" s="1"/>
      <c r="G8" s="5"/>
      <c r="H8" s="1"/>
      <c r="I8" s="5"/>
      <c r="J8" s="5"/>
      <c r="K8" s="1"/>
      <c r="L8" s="5"/>
      <c r="M8" s="5"/>
      <c r="N8" s="1"/>
      <c r="O8" s="5"/>
      <c r="P8" s="5"/>
      <c r="Q8" s="1"/>
      <c r="R8" s="5"/>
      <c r="S8" s="5"/>
      <c r="T8" s="1"/>
      <c r="U8" s="5"/>
      <c r="V8" s="1"/>
      <c r="W8" s="5"/>
      <c r="X8" s="1"/>
      <c r="Y8" s="5"/>
      <c r="Z8" s="1"/>
      <c r="AA8" s="5"/>
      <c r="AB8" s="1"/>
      <c r="AC8" s="5"/>
      <c r="AD8" s="1"/>
      <c r="AE8" s="5"/>
      <c r="AF8" s="1"/>
      <c r="AG8" s="5"/>
      <c r="AH8" s="1"/>
      <c r="AI8" s="5"/>
      <c r="AJ8" s="1"/>
      <c r="AK8" s="5"/>
      <c r="AL8" s="1"/>
      <c r="AM8" s="5"/>
      <c r="AN8" s="1"/>
      <c r="AO8" s="5"/>
      <c r="AP8" s="1"/>
      <c r="AQ8" s="10"/>
      <c r="AR8" s="1"/>
      <c r="AS8" s="10"/>
      <c r="AT8" s="1"/>
      <c r="AU8" s="10"/>
      <c r="AV8" s="1"/>
      <c r="AW8" s="10"/>
      <c r="AX8" s="1"/>
      <c r="AY8" s="10"/>
      <c r="AZ8" s="1"/>
      <c r="BA8" s="10"/>
      <c r="BB8" s="11"/>
      <c r="BC8" s="1"/>
      <c r="BD8" s="10"/>
      <c r="BE8" s="11"/>
      <c r="BF8" s="1"/>
      <c r="BG8" s="10"/>
      <c r="BH8" s="11"/>
      <c r="BI8" s="1"/>
      <c r="BJ8" s="10"/>
      <c r="BK8" s="11"/>
      <c r="BL8" s="1"/>
      <c r="BM8" s="10"/>
      <c r="BN8" s="11"/>
      <c r="BO8" s="11"/>
      <c r="BP8" s="11"/>
      <c r="BQ8" s="11"/>
      <c r="BR8" s="1"/>
      <c r="BS8" s="10"/>
      <c r="BT8" s="11"/>
      <c r="BU8" s="1"/>
      <c r="BV8" s="10"/>
      <c r="BW8" s="11"/>
      <c r="BX8" s="1"/>
      <c r="BY8" s="10"/>
      <c r="BZ8" s="11"/>
      <c r="CA8" s="1"/>
      <c r="CB8" s="10"/>
      <c r="CC8" s="11"/>
      <c r="CD8" s="1"/>
      <c r="CE8" s="10"/>
      <c r="CF8" s="11"/>
      <c r="CG8" s="1"/>
      <c r="CH8" s="10"/>
      <c r="CI8" s="11"/>
      <c r="CJ8" s="1"/>
      <c r="CK8" s="10"/>
      <c r="CL8" s="11"/>
    </row>
    <row r="9" spans="2:90" x14ac:dyDescent="0.35">
      <c r="B9" s="1"/>
      <c r="C9" s="12" t="s">
        <v>0</v>
      </c>
      <c r="D9" s="1"/>
      <c r="E9" s="5"/>
      <c r="F9" s="1"/>
      <c r="G9" s="5"/>
      <c r="H9" s="1"/>
      <c r="I9" s="5"/>
      <c r="J9" s="5"/>
      <c r="K9" s="1"/>
      <c r="L9" s="5"/>
      <c r="M9" s="5"/>
      <c r="N9" s="1"/>
      <c r="O9" s="5"/>
      <c r="P9" s="5"/>
      <c r="Q9" s="1"/>
      <c r="R9" s="5"/>
      <c r="S9" s="5"/>
      <c r="T9" s="1"/>
      <c r="U9" s="5"/>
      <c r="V9" s="1"/>
      <c r="W9" s="5"/>
      <c r="X9" s="1"/>
      <c r="Y9" s="5"/>
      <c r="Z9" s="1"/>
      <c r="AA9" s="5"/>
      <c r="AB9" s="1"/>
      <c r="AC9" s="5"/>
      <c r="AD9" s="1"/>
      <c r="AE9" s="5"/>
      <c r="AF9" s="1"/>
      <c r="AG9" s="5"/>
      <c r="AH9" s="1"/>
      <c r="AI9" s="5"/>
      <c r="AJ9" s="1"/>
      <c r="AK9" s="5"/>
      <c r="AL9" s="1"/>
      <c r="AM9" s="5"/>
      <c r="AN9" s="1"/>
      <c r="AO9" s="5"/>
      <c r="AP9" s="1"/>
      <c r="AQ9" s="10"/>
      <c r="AR9" s="1"/>
      <c r="AS9" s="10"/>
      <c r="AT9" s="1"/>
      <c r="AU9" s="10"/>
      <c r="AV9" s="1"/>
      <c r="AW9" s="10"/>
      <c r="AX9" s="1"/>
      <c r="AY9" s="10"/>
      <c r="AZ9" s="1"/>
      <c r="BA9" s="10"/>
      <c r="BB9" s="11"/>
      <c r="BC9" s="1"/>
      <c r="BD9" s="10"/>
      <c r="BE9" s="11"/>
      <c r="BF9" s="1"/>
      <c r="BG9" s="10"/>
      <c r="BH9" s="11"/>
      <c r="BI9" s="1"/>
      <c r="BJ9" s="10"/>
      <c r="BK9" s="11"/>
      <c r="BL9" s="1"/>
      <c r="BM9" s="10"/>
      <c r="BN9" s="11"/>
      <c r="BO9" s="11"/>
      <c r="BP9" s="11"/>
      <c r="BQ9" s="11"/>
      <c r="BR9" s="1"/>
      <c r="BS9" s="10"/>
      <c r="BT9" s="11"/>
      <c r="BU9" s="1"/>
      <c r="BV9" s="10"/>
      <c r="BW9" s="11"/>
      <c r="BX9" s="1"/>
      <c r="BY9" s="10"/>
      <c r="BZ9" s="11"/>
      <c r="CA9" s="1"/>
      <c r="CB9" s="10"/>
      <c r="CC9" s="11"/>
      <c r="CD9" s="1"/>
      <c r="CE9" s="10"/>
      <c r="CF9" s="11"/>
      <c r="CG9" s="1"/>
      <c r="CH9" s="10"/>
      <c r="CI9" s="11"/>
      <c r="CJ9" s="1"/>
      <c r="CK9" s="10"/>
      <c r="CL9" s="11"/>
    </row>
    <row r="10" spans="2:90" x14ac:dyDescent="0.35">
      <c r="B10" s="1"/>
      <c r="C10" s="5"/>
      <c r="D10" s="1"/>
      <c r="E10" s="5"/>
      <c r="F10" s="1"/>
      <c r="G10" s="5"/>
      <c r="H10" s="1"/>
      <c r="I10" s="5"/>
      <c r="J10" s="5"/>
      <c r="K10" s="1"/>
      <c r="L10" s="5"/>
      <c r="M10" s="5"/>
      <c r="N10" s="1"/>
      <c r="O10" s="5"/>
      <c r="P10" s="5"/>
      <c r="Q10" s="1"/>
      <c r="R10" s="5"/>
      <c r="S10" s="5"/>
      <c r="T10" s="1"/>
      <c r="U10" s="5"/>
      <c r="V10" s="1"/>
      <c r="W10" s="5"/>
      <c r="X10" s="1"/>
      <c r="Y10" s="5"/>
      <c r="Z10" s="1"/>
      <c r="AA10" s="5"/>
      <c r="AB10" s="1"/>
      <c r="AC10" s="5"/>
      <c r="AD10" s="1"/>
      <c r="AE10" s="5"/>
      <c r="AF10" s="1"/>
      <c r="AG10" s="5"/>
      <c r="AH10" s="1"/>
      <c r="AI10" s="5"/>
      <c r="AJ10" s="1"/>
      <c r="AK10" s="5"/>
      <c r="AL10" s="1"/>
      <c r="AM10" s="5"/>
      <c r="AN10" s="1"/>
      <c r="AO10" s="5"/>
      <c r="AP10" s="1"/>
      <c r="AQ10" s="10"/>
      <c r="AR10" s="1"/>
      <c r="AS10" s="10"/>
      <c r="AT10" s="1"/>
      <c r="AU10" s="10"/>
      <c r="AV10" s="1"/>
      <c r="AW10" s="10"/>
      <c r="AX10" s="1"/>
      <c r="AY10" s="10"/>
      <c r="AZ10" s="1"/>
      <c r="BA10" s="10"/>
      <c r="BB10" s="11"/>
      <c r="BC10" s="1"/>
      <c r="BD10" s="10"/>
      <c r="BE10" s="11"/>
      <c r="BF10" s="1"/>
      <c r="BG10" s="10"/>
      <c r="BH10" s="11"/>
      <c r="BI10" s="1"/>
      <c r="BJ10" s="10"/>
      <c r="BK10" s="11"/>
      <c r="BL10" s="1"/>
      <c r="BM10" s="10"/>
      <c r="BN10" s="11"/>
      <c r="BO10" s="11"/>
      <c r="BP10" s="11"/>
      <c r="BQ10" s="11"/>
      <c r="BR10" s="1"/>
      <c r="BS10" s="10"/>
      <c r="BT10" s="11"/>
      <c r="BU10" s="1"/>
      <c r="BV10" s="10"/>
      <c r="BW10" s="11"/>
      <c r="BX10" s="1"/>
      <c r="BY10" s="10"/>
      <c r="BZ10" s="11"/>
      <c r="CA10" s="1"/>
      <c r="CB10" s="10"/>
      <c r="CC10" s="11"/>
      <c r="CD10" s="1"/>
      <c r="CE10" s="10"/>
      <c r="CF10" s="11"/>
      <c r="CG10" s="1"/>
      <c r="CH10" s="10"/>
      <c r="CI10" s="11"/>
      <c r="CJ10" s="1"/>
      <c r="CK10" s="10"/>
      <c r="CL10" s="11"/>
    </row>
    <row r="11" spans="2:90" x14ac:dyDescent="0.35">
      <c r="B11" s="100" t="s">
        <v>1</v>
      </c>
      <c r="C11" s="100"/>
      <c r="D11" s="1"/>
      <c r="E11" s="5"/>
      <c r="F11" s="1"/>
      <c r="G11" s="5"/>
      <c r="H11" s="1"/>
      <c r="I11" s="5"/>
      <c r="J11" s="5"/>
      <c r="K11" s="1"/>
      <c r="L11" s="5"/>
      <c r="M11" s="5"/>
      <c r="N11" s="1"/>
      <c r="O11" s="5"/>
      <c r="P11" s="5"/>
      <c r="Q11" s="1"/>
      <c r="R11" s="5"/>
      <c r="S11" s="5"/>
      <c r="T11" s="1"/>
      <c r="U11" s="5"/>
      <c r="V11" s="1"/>
      <c r="W11" s="5"/>
      <c r="X11" s="1"/>
      <c r="Y11" s="5"/>
      <c r="Z11" s="1"/>
      <c r="AA11" s="5"/>
      <c r="AB11" s="1"/>
      <c r="AC11" s="5"/>
      <c r="AD11" s="1"/>
      <c r="AE11" s="5"/>
      <c r="AF11" s="1"/>
      <c r="AG11" s="5"/>
      <c r="AH11" s="1"/>
      <c r="AI11" s="5"/>
      <c r="AJ11" s="1"/>
      <c r="AK11" s="5"/>
      <c r="AL11" s="1"/>
      <c r="AM11" s="5"/>
      <c r="AN11" s="1"/>
      <c r="AO11" s="5"/>
      <c r="AP11" s="1"/>
      <c r="AQ11" s="10"/>
      <c r="AR11" s="1"/>
      <c r="AS11" s="10"/>
      <c r="AT11" s="1"/>
      <c r="AU11" s="10"/>
      <c r="AV11" s="1"/>
      <c r="AW11" s="10"/>
      <c r="AX11" s="1"/>
      <c r="AY11" s="10"/>
      <c r="AZ11" s="1"/>
      <c r="BA11" s="10"/>
      <c r="BB11" s="11"/>
      <c r="BC11" s="1"/>
      <c r="BD11" s="10"/>
      <c r="BE11" s="11"/>
      <c r="BF11" s="1"/>
      <c r="BG11" s="10"/>
      <c r="BH11" s="11"/>
      <c r="BI11" s="1"/>
      <c r="BJ11" s="10"/>
      <c r="BK11" s="11"/>
      <c r="BL11" s="1"/>
      <c r="BM11" s="10"/>
      <c r="BN11" s="11"/>
      <c r="BO11" s="11"/>
      <c r="BP11" s="11"/>
      <c r="BQ11" s="11"/>
      <c r="BR11" s="1"/>
      <c r="BS11" s="10"/>
      <c r="BT11" s="11"/>
      <c r="BU11" s="1"/>
      <c r="BV11" s="10"/>
      <c r="BW11" s="11"/>
      <c r="BX11" s="1"/>
      <c r="BY11" s="10"/>
      <c r="BZ11" s="11"/>
      <c r="CA11" s="1"/>
      <c r="CB11" s="10"/>
      <c r="CC11" s="11"/>
      <c r="CD11" s="1"/>
      <c r="CE11" s="10"/>
      <c r="CF11" s="11"/>
      <c r="CG11" s="1"/>
      <c r="CH11" s="10"/>
      <c r="CI11" s="11"/>
      <c r="CJ11" s="1"/>
      <c r="CK11" s="10"/>
      <c r="CL11" s="11"/>
    </row>
    <row r="12" spans="2:90" x14ac:dyDescent="0.35">
      <c r="B12" s="101" t="s">
        <v>2</v>
      </c>
      <c r="C12" s="101"/>
      <c r="D12" s="15">
        <f>+D13+D18+D23</f>
        <v>5846780.9222535696</v>
      </c>
      <c r="E12" s="16">
        <f>+D12/$D$38</f>
        <v>0.55037722018258295</v>
      </c>
      <c r="F12" s="15">
        <f>+F13+F18+F23</f>
        <v>5625024.0601188224</v>
      </c>
      <c r="G12" s="17">
        <f>+F12/$F$38</f>
        <v>0.52036787313274868</v>
      </c>
      <c r="H12" s="15">
        <f>+H13+H18+H23</f>
        <v>5940229.4812456416</v>
      </c>
      <c r="I12" s="17">
        <v>0.5210141327604173</v>
      </c>
      <c r="J12" s="17">
        <f>(+H12-F12)/F12</f>
        <v>5.6036279624404106E-2</v>
      </c>
      <c r="K12" s="15">
        <f>+K13+K18+K23</f>
        <v>6177345.6467129104</v>
      </c>
      <c r="L12" s="17">
        <f>+K12/$K$38</f>
        <v>0.52737250539679215</v>
      </c>
      <c r="M12" s="17">
        <f>(+K12-H12)/H12</f>
        <v>3.9917004253099408E-2</v>
      </c>
      <c r="N12" s="15">
        <f>+N13+N18+N23</f>
        <v>6391788.739839999</v>
      </c>
      <c r="O12" s="17">
        <f>+N12/$N$38</f>
        <v>0.52346101123792388</v>
      </c>
      <c r="P12" s="17">
        <f>(+N12-H12)/H12</f>
        <v>7.6017140418566331E-2</v>
      </c>
      <c r="Q12" s="15">
        <f>+Q13+Q18+Q23</f>
        <v>6503986.0108000003</v>
      </c>
      <c r="R12" s="17">
        <f>+Q12/$Q$38</f>
        <v>0.51242183794357354</v>
      </c>
      <c r="S12" s="17">
        <f>(+Q12-K12)/K12</f>
        <v>5.2877138947357072E-2</v>
      </c>
      <c r="T12" s="15">
        <f>+T13+T18+T23</f>
        <v>6635063.5209999997</v>
      </c>
      <c r="U12" s="17">
        <f>+T12/$T$38</f>
        <v>0.49264580256882895</v>
      </c>
      <c r="V12" s="15">
        <f>+V13+V18+V23</f>
        <v>6645579.974443851</v>
      </c>
      <c r="W12" s="17">
        <f>+V12/$AV$38</f>
        <v>0.31961703381261841</v>
      </c>
      <c r="X12" s="15">
        <f>+X13+X18+X23</f>
        <v>6697703.6852820152</v>
      </c>
      <c r="Y12" s="17">
        <f>+X12/$X$38</f>
        <v>0.45717956142987504</v>
      </c>
      <c r="Z12" s="15">
        <f>+Z13+Z18+Z23</f>
        <v>6839726.9209425328</v>
      </c>
      <c r="AA12" s="17">
        <f>+Z12/$Z$38</f>
        <v>0.46115244646993486</v>
      </c>
      <c r="AB12" s="15">
        <f>+AB13+AB18+AB23</f>
        <v>6948028.0744829336</v>
      </c>
      <c r="AC12" s="17">
        <f>+AB12/$AV$38</f>
        <v>0.33416317801500511</v>
      </c>
      <c r="AD12" s="15">
        <f>+AD13+AD18+AD23</f>
        <v>7508073.9644738566</v>
      </c>
      <c r="AE12" s="17">
        <f>+AD12/$AD$38</f>
        <v>0.46646534589891742</v>
      </c>
      <c r="AF12" s="15">
        <f>+AF13+AF18+AF23</f>
        <v>7966047.6329999994</v>
      </c>
      <c r="AG12" s="17">
        <f>+AF12/$AF$38</f>
        <v>0.48229893276364394</v>
      </c>
      <c r="AH12" s="15">
        <f>+AH13+AH18+AH23</f>
        <v>8171673.9054278396</v>
      </c>
      <c r="AI12" s="18">
        <f>+AH12/$AH$38</f>
        <v>0.49282949837957474</v>
      </c>
      <c r="AJ12" s="15">
        <f>+AJ13+AJ18+AJ23</f>
        <v>8191338.7108752429</v>
      </c>
      <c r="AK12" s="18">
        <f>+AJ12/$AJ$38</f>
        <v>0.48171211901541533</v>
      </c>
      <c r="AL12" s="15">
        <f>+AL13+AL18+AL23</f>
        <v>8845466.6295758598</v>
      </c>
      <c r="AM12" s="18">
        <f>+AL12/$AL$38</f>
        <v>0.51793900939029025</v>
      </c>
      <c r="AN12" s="15">
        <f>+AN13+AN18+AN23</f>
        <v>9493730.2974887341</v>
      </c>
      <c r="AO12" s="18">
        <f>+AN12/$AV$38</f>
        <v>0.45659790856015886</v>
      </c>
      <c r="AP12" s="15">
        <f>+AP13+AP18+AP23</f>
        <v>9535449.5973741561</v>
      </c>
      <c r="AQ12" s="19">
        <f>+AP12/$AP$38</f>
        <v>0.51484378179028922</v>
      </c>
      <c r="AR12" s="15">
        <f>+AR13+AR18+AR23</f>
        <v>9740331.3321469184</v>
      </c>
      <c r="AS12" s="19">
        <f>+AR12/$AR$38</f>
        <v>0.49932028849081428</v>
      </c>
      <c r="AT12" s="15">
        <f>+AT13+AT18+AT23</f>
        <v>10614218.90626784</v>
      </c>
      <c r="AU12" s="19">
        <f>+AT12/$AT$38</f>
        <v>0.52912102697211316</v>
      </c>
      <c r="AV12" s="15">
        <f>+AV13+AV18+AV23</f>
        <v>10900768.040425882</v>
      </c>
      <c r="AW12" s="19">
        <f>+AV12/$AV$38</f>
        <v>0.52426893676076491</v>
      </c>
      <c r="AX12" s="15">
        <f>+AX13+AX18+AX23</f>
        <v>11004949.105036154</v>
      </c>
      <c r="AY12" s="19">
        <f>+AX12/$AV$38</f>
        <v>0.52927949159243148</v>
      </c>
      <c r="AZ12" s="15">
        <f>+AZ13+AZ18+AZ23</f>
        <v>11496733.133629788</v>
      </c>
      <c r="BA12" s="19">
        <f>+AZ12/$AZ$38</f>
        <v>0.54635283576503924</v>
      </c>
      <c r="BB12" s="3">
        <f>(+AZ12-AX12)/AX12</f>
        <v>4.4687533208906893E-2</v>
      </c>
      <c r="BC12" s="15">
        <f>+BC13+BC18+BC23</f>
        <v>11085740.184262481</v>
      </c>
      <c r="BD12" s="19">
        <f>+BC12/$BC$38</f>
        <v>0.52594713984746855</v>
      </c>
      <c r="BE12" s="3">
        <f>+(BC12-AZ12)/$AZ$12</f>
        <v>-3.57486726525022E-2</v>
      </c>
      <c r="BF12" s="15">
        <f>+BF13+BF18+BF23</f>
        <v>10607318.296187831</v>
      </c>
      <c r="BG12" s="19">
        <f>+BF12/$BF$38</f>
        <v>0.50729336541427661</v>
      </c>
      <c r="BH12" s="3">
        <f>+(BF12-BC12)/BC12</f>
        <v>-4.3156512792337128E-2</v>
      </c>
      <c r="BI12" s="15">
        <f>+BI13+BI18+BI23</f>
        <v>10536884.444456702</v>
      </c>
      <c r="BJ12" s="19">
        <f>+BI12/$BI$38</f>
        <v>0.50142745046581449</v>
      </c>
      <c r="BK12" s="3">
        <f>+(BI12-BF12)/BF12</f>
        <v>-6.6401186204096702E-3</v>
      </c>
      <c r="BL12" s="15">
        <f>+BL13+BL18+BL23</f>
        <v>11768899.889992788</v>
      </c>
      <c r="BM12" s="19">
        <f>+BL12/$BL$38</f>
        <v>0.55217622243578135</v>
      </c>
      <c r="BN12" s="3">
        <f>+(BL12-BI12)/BI12</f>
        <v>0.11692407295822925</v>
      </c>
      <c r="BO12" s="15">
        <f>+BO13+BO18+BO23</f>
        <v>5545594.0882100295</v>
      </c>
      <c r="BP12" s="19">
        <f>+BO12/$BO$38</f>
        <v>0.25509744885615049</v>
      </c>
      <c r="BQ12" s="3">
        <f>+(BO12-BL12)/BL12</f>
        <v>-0.52879248357567366</v>
      </c>
      <c r="BR12" s="15">
        <f>+BR13+BR18+BR23</f>
        <v>5153368.6712360997</v>
      </c>
      <c r="BS12" s="19">
        <f>+BR12/$BR$38</f>
        <v>0.24195709325491124</v>
      </c>
      <c r="BT12" s="3">
        <f t="shared" ref="BT12:BT38" si="0">+(BR12-BO12)/BO12</f>
        <v>-7.0727393807600111E-2</v>
      </c>
      <c r="BU12" s="15">
        <f>+BU13+BU18+BU23</f>
        <v>5032707.7701818496</v>
      </c>
      <c r="BV12" s="19">
        <f>+BU12/$BU$38</f>
        <v>0.2371267854975655</v>
      </c>
      <c r="BW12" s="3">
        <f>+(BU12-BR12)/BR12</f>
        <v>-2.3413985831777888E-2</v>
      </c>
      <c r="BX12" s="15">
        <f>+BX13+BX18+BX23</f>
        <v>4618145.125082342</v>
      </c>
      <c r="BY12" s="19">
        <f>+BX12/$BX$38</f>
        <v>0.22108914574539351</v>
      </c>
      <c r="BZ12" s="3">
        <f>+(BX12-BU12)/BU12</f>
        <v>-8.2373677159587599E-2</v>
      </c>
      <c r="CA12" s="15">
        <f>+CA13+CA18+CA23</f>
        <v>4374981.4608236663</v>
      </c>
      <c r="CB12" s="19">
        <f>+CA12/$CA$38</f>
        <v>0.20825031521471693</v>
      </c>
      <c r="CC12" s="3">
        <f>+(CA12-BX12)/BX12</f>
        <v>-5.2653967701879016E-2</v>
      </c>
      <c r="CD12" s="15">
        <f>+CD13+CD18+CD23</f>
        <v>4485120.032224413</v>
      </c>
      <c r="CE12" s="19">
        <f>+CD12/$CD$38</f>
        <v>0.21146480208093579</v>
      </c>
      <c r="CF12" s="3">
        <f>+(CD12-CA12)/CA12</f>
        <v>2.5174637284065476E-2</v>
      </c>
      <c r="CG12" s="15">
        <f>+CG13+CG18+CG23</f>
        <v>4573506.1954044718</v>
      </c>
      <c r="CH12" s="19">
        <f>+CG12/$CG$38</f>
        <v>0.2124181835322847</v>
      </c>
      <c r="CI12" s="3">
        <f>+(CG12-CD12)/CD12</f>
        <v>1.9706532388214223E-2</v>
      </c>
      <c r="CJ12" s="15">
        <f>+CJ13+CJ18+CJ23</f>
        <v>4745635.6312544458</v>
      </c>
      <c r="CK12" s="19">
        <f>+CJ12/$CJ$38</f>
        <v>0.21733492596242218</v>
      </c>
      <c r="CL12" s="3">
        <f>+(CJ12-CG12)/CG12</f>
        <v>3.7636209178623654E-2</v>
      </c>
    </row>
    <row r="13" spans="2:90" x14ac:dyDescent="0.35">
      <c r="B13" s="1"/>
      <c r="C13" s="20" t="s">
        <v>3</v>
      </c>
      <c r="D13" s="21">
        <f>+D15+D16+D14</f>
        <v>1951246.6896749632</v>
      </c>
      <c r="E13" s="17">
        <v>0.3337300842328943</v>
      </c>
      <c r="F13" s="21">
        <f>+F15+F16+F14</f>
        <v>2008486.7713307021</v>
      </c>
      <c r="G13" s="17">
        <v>0.3570627876191298</v>
      </c>
      <c r="H13" s="21">
        <f>+H15+H16+H14</f>
        <v>2153170.5210899599</v>
      </c>
      <c r="I13" s="17">
        <v>0.36247261623274002</v>
      </c>
      <c r="J13" s="17">
        <f>(+H13-F13)/F13</f>
        <v>7.2036197511721245E-2</v>
      </c>
      <c r="K13" s="21">
        <f>+K15+K16+K14</f>
        <v>2222384.1240984751</v>
      </c>
      <c r="L13" s="17">
        <v>0.35976360255655282</v>
      </c>
      <c r="M13" s="17">
        <f>(+K13-H13)/H13</f>
        <v>3.2144970558801111E-2</v>
      </c>
      <c r="N13" s="21">
        <f>+N15+N16+N14</f>
        <v>2290693.264</v>
      </c>
      <c r="O13" s="17">
        <v>0.35838062821477751</v>
      </c>
      <c r="P13" s="17">
        <f>(+N13-H13)/H13</f>
        <v>6.3869880050384714E-2</v>
      </c>
      <c r="Q13" s="21">
        <f>+Q15+Q16+Q14</f>
        <v>2195135.2634999999</v>
      </c>
      <c r="R13" s="17">
        <v>0.3375061477461565</v>
      </c>
      <c r="S13" s="17">
        <f>(+Q13-K13)/K13</f>
        <v>-1.2261093976959941E-2</v>
      </c>
      <c r="T13" s="21">
        <f>+T15+T16+T14</f>
        <v>2085244.2069999997</v>
      </c>
      <c r="U13" s="17">
        <f>+T13/$T$12</f>
        <v>0.3142764497129823</v>
      </c>
      <c r="V13" s="21">
        <f>+V15+V16+V14</f>
        <v>2073073.3172173398</v>
      </c>
      <c r="W13" s="17">
        <f>+V13/$AV$12</f>
        <v>0.19017681226949096</v>
      </c>
      <c r="X13" s="21">
        <f>+X15+X16+X14</f>
        <v>1942551.9565949701</v>
      </c>
      <c r="Y13" s="17">
        <f>+X13/$X$12</f>
        <v>0.29003253172630861</v>
      </c>
      <c r="Z13" s="21">
        <f>+Z15+Z16+Z14</f>
        <v>1983755.5877165101</v>
      </c>
      <c r="AA13" s="17">
        <f>+Z13/$Z$12</f>
        <v>0.29003432602586177</v>
      </c>
      <c r="AB13" s="21">
        <f>+AB15+AB16+AB14</f>
        <v>1843986.4299650704</v>
      </c>
      <c r="AC13" s="17">
        <f>+AB13/$AV$12</f>
        <v>0.16916114746470909</v>
      </c>
      <c r="AD13" s="21">
        <f>+AD15+AD16+AD14</f>
        <v>2051576.5995884757</v>
      </c>
      <c r="AE13" s="17">
        <f>+AD13/$AD$12</f>
        <v>0.27324938583396652</v>
      </c>
      <c r="AF13" s="21">
        <f>+AF15+AF16+AF14</f>
        <v>2028908.291</v>
      </c>
      <c r="AG13" s="17">
        <f>+AF13/$AF$12</f>
        <v>0.25469447139571227</v>
      </c>
      <c r="AH13" s="22">
        <f>+AH15+AH16+AH14</f>
        <v>2027905.6460180001</v>
      </c>
      <c r="AI13" s="18">
        <f>+AH13/$AH$12</f>
        <v>0.24816282067631359</v>
      </c>
      <c r="AJ13" s="22">
        <f>+AJ15+AJ16+AJ14</f>
        <v>2035036.042598</v>
      </c>
      <c r="AK13" s="18">
        <f>+AJ13/$AJ$12</f>
        <v>0.24843754048360636</v>
      </c>
      <c r="AL13" s="22">
        <f>+AL15+AL16+AL14</f>
        <v>2430127.1914659999</v>
      </c>
      <c r="AM13" s="18">
        <f>+AL13/$AL$12</f>
        <v>0.2747313729431281</v>
      </c>
      <c r="AN13" s="22">
        <f>+AN15+AN16+AN14</f>
        <v>2813460.2269286201</v>
      </c>
      <c r="AO13" s="18">
        <f>+AN13/$AN$12</f>
        <v>0.29634928934865906</v>
      </c>
      <c r="AP13" s="22">
        <f>+AP15+AP16+AP14</f>
        <v>2860321.6200531702</v>
      </c>
      <c r="AQ13" s="19">
        <f>+AP13/$AP$12</f>
        <v>0.29996714794033802</v>
      </c>
      <c r="AR13" s="22">
        <f>+AR15+AR16+AR14</f>
        <v>2850625.0447999998</v>
      </c>
      <c r="AS13" s="19">
        <f>+AR13/$AR$12</f>
        <v>0.29266202017089682</v>
      </c>
      <c r="AT13" s="22">
        <f>+AT15+AT16+AT14</f>
        <v>3514674.46477004</v>
      </c>
      <c r="AU13" s="19">
        <f>+AT13/$AT$12</f>
        <v>0.3311288843585633</v>
      </c>
      <c r="AV13" s="22">
        <f>+AV15+AV16+AV14</f>
        <v>3639514.4796554898</v>
      </c>
      <c r="AW13" s="19">
        <f>+AV13/$AV$12</f>
        <v>0.33387688520278774</v>
      </c>
      <c r="AX13" s="22">
        <f>+AX15+AX16+AX14</f>
        <v>3541299.3547390997</v>
      </c>
      <c r="AY13" s="19">
        <f>+AX13/$AX$12</f>
        <v>0.32179152497111574</v>
      </c>
      <c r="AZ13" s="22">
        <f>+AZ15+AZ16+AZ14</f>
        <v>3505414.03530809</v>
      </c>
      <c r="BA13" s="19">
        <f>+AZ13/$AZ$12</f>
        <v>0.304905227821127</v>
      </c>
      <c r="BB13" s="3">
        <f t="shared" ref="BB13:BB54" si="1">(+AZ13-AX13)/AX13</f>
        <v>-1.0133376435117416E-2</v>
      </c>
      <c r="BC13" s="22">
        <f>+BC15+BC16+BC14</f>
        <v>3346250.3929102002</v>
      </c>
      <c r="BD13" s="19">
        <f>+BC13/$BC$12</f>
        <v>0.30185177870762281</v>
      </c>
      <c r="BE13" s="3">
        <f>+(BC13-AZ13)/AZ13</f>
        <v>-4.5405090752396959E-2</v>
      </c>
      <c r="BF13" s="22">
        <f>+BF15+BF16+BF14</f>
        <v>3266935.6450061598</v>
      </c>
      <c r="BG13" s="19">
        <f>+BF13/$BF$12</f>
        <v>0.30798883881708966</v>
      </c>
      <c r="BH13" s="3">
        <f>+(BF13-BC13)/BC13</f>
        <v>-2.3702574102669332E-2</v>
      </c>
      <c r="BI13" s="22">
        <f>+BI15+BI16+BI14</f>
        <v>3198303.3510894002</v>
      </c>
      <c r="BJ13" s="19">
        <f>+BI13/$BI$12</f>
        <v>0.30353406340827627</v>
      </c>
      <c r="BK13" s="3">
        <f>+(BI13-BF13)/BF13</f>
        <v>-2.100815607484369E-2</v>
      </c>
      <c r="BL13" s="22">
        <f>+BL15+BL16+BL14</f>
        <v>3322061.7414838597</v>
      </c>
      <c r="BM13" s="19">
        <f>+BL13/$BL$12</f>
        <v>0.28227461976362306</v>
      </c>
      <c r="BN13" s="3">
        <f>+(BL13-BI13)/BI13</f>
        <v>3.8695013202016973E-2</v>
      </c>
      <c r="BO13" s="22">
        <f>+BO15+BO16+BO14</f>
        <v>3300788.6159010297</v>
      </c>
      <c r="BP13" s="19">
        <f>+BO13/$BO$12</f>
        <v>0.59520919912233183</v>
      </c>
      <c r="BQ13" s="3">
        <f>+(BO13-BL13)/BL13</f>
        <v>-6.4035912750158635E-3</v>
      </c>
      <c r="BR13" s="22">
        <f>+BR15+BR16+BR14</f>
        <v>3047612.9798864</v>
      </c>
      <c r="BS13" s="19">
        <f>+BR13/$BR$12</f>
        <v>0.59138268078836909</v>
      </c>
      <c r="BT13" s="3">
        <f t="shared" si="0"/>
        <v>-7.670155998327062E-2</v>
      </c>
      <c r="BU13" s="22">
        <f>+BU15+BU16+BU14</f>
        <v>2924124.0830287952</v>
      </c>
      <c r="BV13" s="19">
        <f>+BU13/$BU$12</f>
        <v>0.58102401660471059</v>
      </c>
      <c r="BW13" s="3">
        <f>+(BU13-BR13)/BR13</f>
        <v>-4.0519874955450515E-2</v>
      </c>
      <c r="BX13" s="22">
        <f>+BX15+BX16+BX14</f>
        <v>2643383.3783999998</v>
      </c>
      <c r="BY13" s="19">
        <f>+BX13/$BX$12</f>
        <v>0.57239071246226114</v>
      </c>
      <c r="BZ13" s="3">
        <f>+(BX13-BU13)/BU13</f>
        <v>-9.6008478661413488E-2</v>
      </c>
      <c r="CA13" s="22">
        <f>+CA15+CA16+CA14</f>
        <v>2510485.8935500002</v>
      </c>
      <c r="CB13" s="19">
        <f>+CA13/$CA$12</f>
        <v>0.57382777870728563</v>
      </c>
      <c r="CC13" s="3">
        <f>+(CA13-BX13)/BX13</f>
        <v>-5.0275524139234209E-2</v>
      </c>
      <c r="CD13" s="22">
        <f>+CD15+CD16+CD14</f>
        <v>2570010.8605060601</v>
      </c>
      <c r="CE13" s="19">
        <f>+CD13/$CD$12</f>
        <v>0.57300826779243474</v>
      </c>
      <c r="CF13" s="3">
        <f>+(CD13-CA13)/CA13</f>
        <v>2.3710536318484351E-2</v>
      </c>
      <c r="CG13" s="22">
        <f>+CG15+CG16+CG14</f>
        <v>2639537.7163359998</v>
      </c>
      <c r="CH13" s="19">
        <f>+CG13/$CG$12</f>
        <v>0.57713657827516385</v>
      </c>
      <c r="CI13" s="3">
        <f>+(CG13-CD13)/CD13</f>
        <v>2.7053136972444235E-2</v>
      </c>
      <c r="CJ13" s="22">
        <f>+CJ15+CJ16+CJ14</f>
        <v>2722571.2408286198</v>
      </c>
      <c r="CK13" s="19">
        <f>+CJ13/$CJ$12</f>
        <v>0.57370001668437076</v>
      </c>
      <c r="CL13" s="3">
        <f>+(CJ13-CG13)/CG13</f>
        <v>3.1457601071099933E-2</v>
      </c>
    </row>
    <row r="14" spans="2:90" x14ac:dyDescent="0.35">
      <c r="B14" s="1"/>
      <c r="C14" s="23" t="s">
        <v>21</v>
      </c>
      <c r="D14" s="24">
        <v>3156.8</v>
      </c>
      <c r="E14" s="16">
        <v>1.6178374660181264E-3</v>
      </c>
      <c r="F14" s="24">
        <v>3156.8</v>
      </c>
      <c r="G14" s="16">
        <v>1.5717305411518817E-3</v>
      </c>
      <c r="H14" s="24">
        <v>0</v>
      </c>
      <c r="I14" s="16">
        <v>0</v>
      </c>
      <c r="J14" s="16">
        <f>(+H14-F14)/F14</f>
        <v>-1</v>
      </c>
      <c r="K14" s="24">
        <v>0</v>
      </c>
      <c r="L14" s="16">
        <v>0</v>
      </c>
      <c r="M14" s="16">
        <v>0</v>
      </c>
      <c r="N14" s="24">
        <v>0</v>
      </c>
      <c r="O14" s="16">
        <v>0</v>
      </c>
      <c r="P14" s="16">
        <v>0</v>
      </c>
      <c r="Q14" s="24">
        <v>0</v>
      </c>
      <c r="R14" s="16">
        <v>0</v>
      </c>
      <c r="S14" s="16"/>
      <c r="T14" s="24">
        <v>0</v>
      </c>
      <c r="U14" s="16">
        <f>+T14/T13</f>
        <v>0</v>
      </c>
      <c r="V14" s="24">
        <v>0</v>
      </c>
      <c r="W14" s="16">
        <f>+V14/V13</f>
        <v>0</v>
      </c>
      <c r="X14" s="24">
        <v>0</v>
      </c>
      <c r="Y14" s="16">
        <f>+X14/X13</f>
        <v>0</v>
      </c>
      <c r="Z14" s="24">
        <v>0</v>
      </c>
      <c r="AA14" s="16">
        <f>+Z14/Z13</f>
        <v>0</v>
      </c>
      <c r="AB14" s="24">
        <v>0</v>
      </c>
      <c r="AC14" s="16">
        <f>+AB14/AB13</f>
        <v>0</v>
      </c>
      <c r="AD14" s="24">
        <v>0</v>
      </c>
      <c r="AE14" s="16">
        <f>+AD14/AD13</f>
        <v>0</v>
      </c>
      <c r="AF14" s="24">
        <v>0</v>
      </c>
      <c r="AG14" s="16">
        <f>+AF14/AF13</f>
        <v>0</v>
      </c>
      <c r="AH14" s="25">
        <v>0</v>
      </c>
      <c r="AI14" s="15">
        <f>+AH14/AH13</f>
        <v>0</v>
      </c>
      <c r="AJ14" s="25">
        <v>0</v>
      </c>
      <c r="AK14" s="15">
        <f>+AJ14/AJ13</f>
        <v>0</v>
      </c>
      <c r="AL14" s="25">
        <v>0</v>
      </c>
      <c r="AM14" s="15">
        <f>+AL14/AL13</f>
        <v>0</v>
      </c>
      <c r="AN14" s="25">
        <v>0</v>
      </c>
      <c r="AO14" s="15">
        <f>+AN14/AN13</f>
        <v>0</v>
      </c>
      <c r="AP14" s="25">
        <v>1678</v>
      </c>
      <c r="AQ14" s="2">
        <f t="shared" ref="AQ14:AQ15" si="2">+AP14/$AP$13</f>
        <v>5.8664731554516859E-4</v>
      </c>
      <c r="AR14" s="25">
        <v>1678</v>
      </c>
      <c r="AS14" s="2">
        <f>+AR14/AR13</f>
        <v>5.886428322311076E-4</v>
      </c>
      <c r="AT14" s="25">
        <v>1678</v>
      </c>
      <c r="AU14" s="2">
        <f>+AT14/AT13</f>
        <v>4.7742686181031249E-4</v>
      </c>
      <c r="AV14" s="25">
        <v>0</v>
      </c>
      <c r="AW14" s="2">
        <f>+AV14/AV13</f>
        <v>0</v>
      </c>
      <c r="AX14" s="25">
        <v>0</v>
      </c>
      <c r="AY14" s="2">
        <f>+AX14/AX13</f>
        <v>0</v>
      </c>
      <c r="AZ14" s="25">
        <v>0</v>
      </c>
      <c r="BA14" s="2">
        <f>+AZ14/AZ13</f>
        <v>0</v>
      </c>
      <c r="BB14" s="3"/>
      <c r="BC14" s="25">
        <v>0</v>
      </c>
      <c r="BD14" s="2"/>
      <c r="BE14" s="3"/>
      <c r="BF14" s="25">
        <v>0</v>
      </c>
      <c r="BG14" s="2"/>
      <c r="BH14" s="3"/>
      <c r="BI14" s="25">
        <v>0</v>
      </c>
      <c r="BJ14" s="2"/>
      <c r="BK14" s="3"/>
      <c r="BL14" s="25">
        <v>0</v>
      </c>
      <c r="BM14" s="2"/>
      <c r="BN14" s="3"/>
      <c r="BO14" s="25">
        <v>0</v>
      </c>
      <c r="BP14" s="2"/>
      <c r="BQ14" s="3"/>
      <c r="BR14" s="25">
        <v>0</v>
      </c>
      <c r="BS14" s="2"/>
      <c r="BT14" s="3"/>
      <c r="BU14" s="25">
        <v>0</v>
      </c>
      <c r="BV14" s="2"/>
      <c r="BW14" s="3"/>
      <c r="BX14" s="25">
        <v>0</v>
      </c>
      <c r="BY14" s="2"/>
      <c r="BZ14" s="3"/>
      <c r="CA14" s="25">
        <v>0</v>
      </c>
      <c r="CB14" s="2"/>
      <c r="CC14" s="3"/>
      <c r="CD14" s="25">
        <v>0</v>
      </c>
      <c r="CE14" s="2"/>
      <c r="CF14" s="3"/>
      <c r="CG14" s="25">
        <v>0</v>
      </c>
      <c r="CH14" s="2"/>
      <c r="CI14" s="3"/>
      <c r="CJ14" s="25">
        <v>0</v>
      </c>
      <c r="CK14" s="2"/>
      <c r="CL14" s="3"/>
    </row>
    <row r="15" spans="2:90" x14ac:dyDescent="0.35">
      <c r="B15" s="1"/>
      <c r="C15" s="23" t="s">
        <v>14</v>
      </c>
      <c r="D15" s="25">
        <v>1419554.0423749632</v>
      </c>
      <c r="E15" s="16">
        <v>0.72751131360608801</v>
      </c>
      <c r="F15" s="25">
        <v>1478961.0531307021</v>
      </c>
      <c r="G15" s="16">
        <v>0.73635588456021139</v>
      </c>
      <c r="H15" s="25">
        <v>1575210.8961008799</v>
      </c>
      <c r="I15" s="16">
        <v>0.73157740210166444</v>
      </c>
      <c r="J15" s="16">
        <f>(+H15-F15)/F15</f>
        <v>6.5079362817860323E-2</v>
      </c>
      <c r="K15" s="25">
        <v>1684571.879587675</v>
      </c>
      <c r="L15" s="16">
        <v>0.75800212092994179</v>
      </c>
      <c r="M15" s="16">
        <f t="shared" ref="M15:M38" si="3">(+K15-H15)/H15</f>
        <v>6.9426248737547699E-2</v>
      </c>
      <c r="N15" s="25">
        <v>1695824.1240000001</v>
      </c>
      <c r="O15" s="16">
        <v>0.81324965119541048</v>
      </c>
      <c r="P15" s="16">
        <f>(+N15-H15)/H15</f>
        <v>7.6569574396466E-2</v>
      </c>
      <c r="Q15" s="25">
        <v>1589409.2319999998</v>
      </c>
      <c r="R15" s="16">
        <v>0.76221731088592837</v>
      </c>
      <c r="S15" s="16">
        <f>(+Q15-K15)/K15</f>
        <v>-5.6490701727116364E-2</v>
      </c>
      <c r="T15" s="25">
        <v>1451459.8909999998</v>
      </c>
      <c r="U15" s="16">
        <f>+T15/$T$13</f>
        <v>0.69606230585730144</v>
      </c>
      <c r="V15" s="25">
        <v>1449902.5979737598</v>
      </c>
      <c r="W15" s="16">
        <f>+V15/$V$13</f>
        <v>0.69939764596456522</v>
      </c>
      <c r="X15" s="25">
        <v>1311654.13457972</v>
      </c>
      <c r="Y15" s="16">
        <f>+X15/$X$13</f>
        <v>0.67522216336435692</v>
      </c>
      <c r="Z15" s="25">
        <v>1255072.7343617999</v>
      </c>
      <c r="AA15" s="16">
        <f>+Z15/$Z$13</f>
        <v>0.63267508463908451</v>
      </c>
      <c r="AB15" s="25">
        <v>1150275.7825653653</v>
      </c>
      <c r="AC15" s="16">
        <f>+AB15/$AV$13</f>
        <v>0.31605198687772451</v>
      </c>
      <c r="AD15" s="25">
        <v>1310383.8458499971</v>
      </c>
      <c r="AE15" s="16">
        <f>+AD15/$AD$13</f>
        <v>0.63872040951960851</v>
      </c>
      <c r="AF15" s="25">
        <v>1257735.9909999999</v>
      </c>
      <c r="AG15" s="16">
        <f>+AF15/$AF$13</f>
        <v>0.61990775856117786</v>
      </c>
      <c r="AH15" s="25">
        <v>1265776.9766640002</v>
      </c>
      <c r="AI15" s="15">
        <f>+AH15/$AH$13</f>
        <v>0.62417942331265885</v>
      </c>
      <c r="AJ15" s="25">
        <v>1268232.0293040001</v>
      </c>
      <c r="AK15" s="15">
        <f>+AJ15/$AJ$13</f>
        <v>0.62319880471744848</v>
      </c>
      <c r="AL15" s="25">
        <v>1716573.9762909999</v>
      </c>
      <c r="AM15" s="15">
        <f>+AL15/$AL$13</f>
        <v>0.70637207069620855</v>
      </c>
      <c r="AN15" s="25">
        <v>1957666.9335510002</v>
      </c>
      <c r="AO15" s="15">
        <f>+AN15/$AN$13</f>
        <v>0.695821790837304</v>
      </c>
      <c r="AP15" s="25">
        <v>2017260.423769</v>
      </c>
      <c r="AQ15" s="2">
        <f t="shared" si="2"/>
        <v>0.70525650319403643</v>
      </c>
      <c r="AR15" s="25">
        <v>2036153.1616799999</v>
      </c>
      <c r="AS15" s="2">
        <f>+AR15/$AR$13</f>
        <v>0.71428305360407607</v>
      </c>
      <c r="AT15" s="25">
        <v>2426621.3390090102</v>
      </c>
      <c r="AU15" s="2">
        <f>+AT15/$AT$13</f>
        <v>0.69042563211264019</v>
      </c>
      <c r="AV15" s="25">
        <v>2514751.2434358099</v>
      </c>
      <c r="AW15" s="2">
        <f>+AV15/$AV$13</f>
        <v>0.69095788943635472</v>
      </c>
      <c r="AX15" s="25">
        <v>2375596.7445838</v>
      </c>
      <c r="AY15" s="2">
        <f>+AX15/$AX$13</f>
        <v>0.67082630035348101</v>
      </c>
      <c r="AZ15" s="25">
        <v>2354245.2020939998</v>
      </c>
      <c r="BA15" s="2">
        <f>+AZ15/$AZ$13</f>
        <v>0.67160260624878965</v>
      </c>
      <c r="BB15" s="3">
        <f t="shared" si="1"/>
        <v>-8.987864854790785E-3</v>
      </c>
      <c r="BC15" s="25">
        <v>2193751.10139</v>
      </c>
      <c r="BD15" s="2">
        <f>+BC15/$BC$13</f>
        <v>0.65558486180172448</v>
      </c>
      <c r="BE15" s="3">
        <f t="shared" ref="BE15:BE54" si="4">+(BC15-AZ15)/AZ15</f>
        <v>-6.8172211017462098E-2</v>
      </c>
      <c r="BF15" s="25">
        <v>2137398.0070799999</v>
      </c>
      <c r="BG15" s="2">
        <f>+BF15/$BF$13</f>
        <v>0.6542516410897864</v>
      </c>
      <c r="BH15" s="3">
        <f>+(BF15-BC15)/BC15</f>
        <v>-2.568800730141799E-2</v>
      </c>
      <c r="BI15" s="25">
        <v>2048316.5466799999</v>
      </c>
      <c r="BJ15" s="2">
        <f>+BI15/$BI$13</f>
        <v>0.64043848310458296</v>
      </c>
      <c r="BK15" s="3">
        <f>+(BI15-BF15)/BF15</f>
        <v>-4.1677525713471754E-2</v>
      </c>
      <c r="BL15" s="25">
        <v>2076325.6204900001</v>
      </c>
      <c r="BM15" s="2">
        <f>+BL15/$BL$13</f>
        <v>0.62501114731316565</v>
      </c>
      <c r="BN15" s="3">
        <f>+(BL15-BI15)/BI15</f>
        <v>1.3674192036088623E-2</v>
      </c>
      <c r="BO15" s="25">
        <v>2098024.7916599996</v>
      </c>
      <c r="BP15" s="2">
        <f>+BO15/$BO$13</f>
        <v>0.63561319302699226</v>
      </c>
      <c r="BQ15" s="3">
        <f>+(BO15-BL15)/BL15</f>
        <v>1.0450755390129343E-2</v>
      </c>
      <c r="BR15" s="25">
        <v>1912683.0109999999</v>
      </c>
      <c r="BS15" s="2">
        <f>+BR15/$BR$13</f>
        <v>0.62760036252086548</v>
      </c>
      <c r="BT15" s="3">
        <f t="shared" si="0"/>
        <v>-8.8341082239239671E-2</v>
      </c>
      <c r="BU15" s="25">
        <v>1753203.3068253745</v>
      </c>
      <c r="BV15" s="2">
        <f>+BU15/$BU$13</f>
        <v>0.59956529102192335</v>
      </c>
      <c r="BW15" s="3">
        <f t="shared" ref="BW15:BW16" si="5">+(BU15-BR15)/BR15</f>
        <v>-8.3380101803301618E-2</v>
      </c>
      <c r="BX15" s="25">
        <v>1613553.8163999999</v>
      </c>
      <c r="BY15" s="2">
        <f>+BX15/$BX$13</f>
        <v>0.61041233352108759</v>
      </c>
      <c r="BZ15" s="3">
        <f t="shared" ref="BZ15:BZ16" si="6">+(BX15-BU15)/BU15</f>
        <v>-7.9653905443656678E-2</v>
      </c>
      <c r="CA15" s="25">
        <v>1492776.7070799998</v>
      </c>
      <c r="CB15" s="2">
        <f>+CA15/$CA$13</f>
        <v>0.59461664808206138</v>
      </c>
      <c r="CC15" s="3">
        <f>+(CA15-BX15)/BX15</f>
        <v>-7.485161516922062E-2</v>
      </c>
      <c r="CD15" s="25">
        <v>1552008.2839200001</v>
      </c>
      <c r="CE15" s="2">
        <f>+CD15/$CD$13</f>
        <v>0.60389172192618457</v>
      </c>
      <c r="CF15" s="3">
        <f t="shared" ref="CF15" si="7">+(CD15-CA15)/CA15</f>
        <v>3.9678792252769206E-2</v>
      </c>
      <c r="CG15" s="25">
        <v>1669978.66426</v>
      </c>
      <c r="CH15" s="2">
        <f>+CG15/$CG$13</f>
        <v>0.63267846256735216</v>
      </c>
      <c r="CI15" s="3">
        <f t="shared" ref="CI15" si="8">+(CG15-CD15)/CD15</f>
        <v>7.6011437285653571E-2</v>
      </c>
      <c r="CJ15" s="25">
        <v>1693079.0082181348</v>
      </c>
      <c r="CK15" s="2">
        <f>+CJ15/$CJ$13</f>
        <v>0.62186766055122322</v>
      </c>
      <c r="CL15" s="3">
        <f>+(CJ15-CG15)/CG15</f>
        <v>1.3832718017610707E-2</v>
      </c>
    </row>
    <row r="16" spans="2:90" x14ac:dyDescent="0.35">
      <c r="B16" s="1"/>
      <c r="C16" s="23" t="s">
        <v>15</v>
      </c>
      <c r="D16" s="25">
        <v>528535.84730000002</v>
      </c>
      <c r="E16" s="16">
        <v>0.27087084892789387</v>
      </c>
      <c r="F16" s="25">
        <v>526368.91819999996</v>
      </c>
      <c r="G16" s="16">
        <v>0.26207238489863671</v>
      </c>
      <c r="H16" s="25">
        <v>577959.62498908001</v>
      </c>
      <c r="I16" s="16">
        <v>0.26842259789833561</v>
      </c>
      <c r="J16" s="16">
        <f>(+H16-F16)/F16</f>
        <v>9.8012449073745594E-2</v>
      </c>
      <c r="K16" s="25">
        <v>537812.2445108</v>
      </c>
      <c r="L16" s="16">
        <v>0.24199787907005821</v>
      </c>
      <c r="M16" s="16">
        <f t="shared" si="3"/>
        <v>-6.9463988040753821E-2</v>
      </c>
      <c r="N16" s="25">
        <v>594869.14</v>
      </c>
      <c r="O16" s="16">
        <v>0.2852755269637347</v>
      </c>
      <c r="P16" s="16">
        <f>(+N16-H16)/H16</f>
        <v>2.92572599880822E-2</v>
      </c>
      <c r="Q16" s="25">
        <v>605726.03150000004</v>
      </c>
      <c r="R16" s="16">
        <v>0.29048205935143023</v>
      </c>
      <c r="S16" s="16">
        <f t="shared" ref="S16" si="9">(+Q16-K16)/K16</f>
        <v>0.12627787426256012</v>
      </c>
      <c r="T16" s="25">
        <v>633784.31599999988</v>
      </c>
      <c r="U16" s="16">
        <f>+T16/$T$13</f>
        <v>0.30393769414269856</v>
      </c>
      <c r="V16" s="25">
        <v>623170.71924358001</v>
      </c>
      <c r="W16" s="16">
        <f>+V16/$V$13</f>
        <v>0.30060235403543478</v>
      </c>
      <c r="X16" s="25">
        <v>630897.8220152501</v>
      </c>
      <c r="Y16" s="16">
        <f>+X16/$X$13</f>
        <v>0.32477783663564314</v>
      </c>
      <c r="Z16" s="25">
        <v>728682.85335471004</v>
      </c>
      <c r="AA16" s="16">
        <f>+Z16/$Z$13</f>
        <v>0.36732491536091538</v>
      </c>
      <c r="AB16" s="25">
        <v>693710.64739970514</v>
      </c>
      <c r="AC16" s="16">
        <f>+AB16/$AV$13</f>
        <v>0.19060527201567024</v>
      </c>
      <c r="AD16" s="25">
        <v>741192.75373847864</v>
      </c>
      <c r="AE16" s="16">
        <f>+AD16/$AD$13</f>
        <v>0.36127959048039149</v>
      </c>
      <c r="AF16" s="25">
        <v>771172.3</v>
      </c>
      <c r="AG16" s="16">
        <f>+AF16/$AF$13</f>
        <v>0.38009224143882214</v>
      </c>
      <c r="AH16" s="25">
        <v>762128.6693539999</v>
      </c>
      <c r="AI16" s="15">
        <f>+AH16/$AH$13</f>
        <v>0.37582057668734115</v>
      </c>
      <c r="AJ16" s="25">
        <v>766804.01329399995</v>
      </c>
      <c r="AK16" s="15">
        <f>+AJ16/$AJ$13</f>
        <v>0.37680119528255157</v>
      </c>
      <c r="AL16" s="25">
        <v>713553.21517500002</v>
      </c>
      <c r="AM16" s="15">
        <f>+AL16/$AL$13</f>
        <v>0.2936279293037915</v>
      </c>
      <c r="AN16" s="25">
        <v>855793.29337761994</v>
      </c>
      <c r="AO16" s="15">
        <f>+AN16/$AN$13</f>
        <v>0.304178209162696</v>
      </c>
      <c r="AP16" s="25">
        <v>841383.19628417003</v>
      </c>
      <c r="AQ16" s="2">
        <f>+AP16/$AP$13</f>
        <v>0.29415684949041837</v>
      </c>
      <c r="AR16" s="25">
        <v>812793.8831199999</v>
      </c>
      <c r="AS16" s="2">
        <f>+AR16/$AR$13</f>
        <v>0.28512830356369284</v>
      </c>
      <c r="AT16" s="25">
        <v>1086375.1257610298</v>
      </c>
      <c r="AU16" s="2">
        <f>+AT16/$AT$13</f>
        <v>0.30909694102554947</v>
      </c>
      <c r="AV16" s="25">
        <v>1124763.2362196799</v>
      </c>
      <c r="AW16" s="2">
        <f>+AV16/$AV$13</f>
        <v>0.30904211056364533</v>
      </c>
      <c r="AX16" s="25">
        <v>1165702.6101552998</v>
      </c>
      <c r="AY16" s="2">
        <f>+AX16/$AX$13</f>
        <v>0.32917369964651894</v>
      </c>
      <c r="AZ16" s="25">
        <v>1151168.83321409</v>
      </c>
      <c r="BA16" s="2">
        <f>+AZ16/$AZ$13</f>
        <v>0.32839739375121035</v>
      </c>
      <c r="BB16" s="3">
        <f t="shared" si="1"/>
        <v>-1.2467825682635769E-2</v>
      </c>
      <c r="BC16" s="25">
        <v>1152499.2915202</v>
      </c>
      <c r="BD16" s="2">
        <f>+BC16/$BC$13</f>
        <v>0.34441513819827541</v>
      </c>
      <c r="BE16" s="3">
        <f t="shared" si="4"/>
        <v>1.155745593281333E-3</v>
      </c>
      <c r="BF16" s="25">
        <v>1129537.6379261599</v>
      </c>
      <c r="BG16" s="2">
        <f>+BF16/$BF$13</f>
        <v>0.3457483589102136</v>
      </c>
      <c r="BH16" s="3">
        <f>+(BF16-BC16)/BC16</f>
        <v>-1.9923355930008942E-2</v>
      </c>
      <c r="BI16" s="25">
        <v>1149986.8044094001</v>
      </c>
      <c r="BJ16" s="2">
        <f>+BI16/$BI$13</f>
        <v>0.35956151689541699</v>
      </c>
      <c r="BK16" s="3">
        <f>+(BI16-BF16)/BF16</f>
        <v>1.810401512674251E-2</v>
      </c>
      <c r="BL16" s="25">
        <v>1245736.1209938598</v>
      </c>
      <c r="BM16" s="2">
        <f>+BL16/$BL$13</f>
        <v>0.37498885268683446</v>
      </c>
      <c r="BN16" s="3">
        <f>+(BL16-BI16)/BI16</f>
        <v>8.3261230665715169E-2</v>
      </c>
      <c r="BO16" s="25">
        <v>1202763.82424103</v>
      </c>
      <c r="BP16" s="2">
        <f>+BO16/$BO$13</f>
        <v>0.36438680697300779</v>
      </c>
      <c r="BQ16" s="3">
        <f>+(BO16-BL16)/BL16</f>
        <v>-3.4495505130369107E-2</v>
      </c>
      <c r="BR16" s="25">
        <v>1134929.9688864001</v>
      </c>
      <c r="BS16" s="2">
        <f>+BR16/$BR$13</f>
        <v>0.37239963747913446</v>
      </c>
      <c r="BT16" s="3">
        <f t="shared" si="0"/>
        <v>-5.6398316932615225E-2</v>
      </c>
      <c r="BU16" s="25">
        <v>1170920.7762034209</v>
      </c>
      <c r="BV16" s="2">
        <f>+BU16/$BU$13</f>
        <v>0.4004347089780767</v>
      </c>
      <c r="BW16" s="3">
        <f t="shared" si="5"/>
        <v>3.1711919064341239E-2</v>
      </c>
      <c r="BX16" s="25">
        <v>1029829.5620000002</v>
      </c>
      <c r="BY16" s="2">
        <f>+BX16/$BX$13</f>
        <v>0.38958766647891252</v>
      </c>
      <c r="BZ16" s="3">
        <f t="shared" si="6"/>
        <v>-0.12049595247672794</v>
      </c>
      <c r="CA16" s="25">
        <v>1017709.1864700001</v>
      </c>
      <c r="CB16" s="2">
        <f>+CA16/$CA$13</f>
        <v>0.40538335191793851</v>
      </c>
      <c r="CC16" s="3">
        <f t="shared" ref="CC16" si="10">+(CA16-BX16)/BX16</f>
        <v>-1.1769302394525819E-2</v>
      </c>
      <c r="CD16" s="25">
        <v>1018002.57658606</v>
      </c>
      <c r="CE16" s="2">
        <f>+CD16/$CD$13</f>
        <v>0.39610827807381538</v>
      </c>
      <c r="CF16" s="3">
        <f>+(CD16-CA16)/CA16</f>
        <v>2.8828482631424921E-4</v>
      </c>
      <c r="CG16" s="25">
        <v>969559.05207600002</v>
      </c>
      <c r="CH16" s="2">
        <f>+CG16/$CG$13</f>
        <v>0.36732153743264795</v>
      </c>
      <c r="CI16" s="3">
        <f>+(CG16-CD16)/CD16</f>
        <v>-4.758683880007316E-2</v>
      </c>
      <c r="CJ16" s="25">
        <v>1029492.2326104851</v>
      </c>
      <c r="CK16" s="2">
        <f>+CJ16/$CJ$13</f>
        <v>0.37813233944877678</v>
      </c>
      <c r="CL16" s="3">
        <f>+(CJ16-CG16)/CG16</f>
        <v>6.1814884205513142E-2</v>
      </c>
    </row>
    <row r="17" spans="1:91" x14ac:dyDescent="0.35">
      <c r="B17" s="1"/>
      <c r="C17" s="23"/>
      <c r="D17" s="26"/>
      <c r="E17" s="16"/>
      <c r="F17" s="26"/>
      <c r="G17" s="16"/>
      <c r="H17" s="26"/>
      <c r="I17" s="16"/>
      <c r="J17" s="16"/>
      <c r="K17" s="26"/>
      <c r="L17" s="16"/>
      <c r="M17" s="16"/>
      <c r="N17" s="26"/>
      <c r="O17" s="16"/>
      <c r="P17" s="16"/>
      <c r="Q17" s="26"/>
      <c r="R17" s="16"/>
      <c r="S17" s="16"/>
      <c r="T17" s="26"/>
      <c r="U17" s="16"/>
      <c r="V17" s="26"/>
      <c r="W17" s="16"/>
      <c r="X17" s="26"/>
      <c r="Y17" s="16"/>
      <c r="Z17" s="26"/>
      <c r="AA17" s="16"/>
      <c r="AB17" s="26"/>
      <c r="AC17" s="16"/>
      <c r="AD17" s="26"/>
      <c r="AE17" s="16"/>
      <c r="AF17" s="26"/>
      <c r="AG17" s="16"/>
      <c r="AH17" s="26"/>
      <c r="AI17" s="15"/>
      <c r="AJ17" s="26"/>
      <c r="AK17" s="15"/>
      <c r="AL17" s="26"/>
      <c r="AM17" s="15"/>
      <c r="AN17" s="26"/>
      <c r="AO17" s="15"/>
      <c r="AP17" s="26"/>
      <c r="AQ17" s="2"/>
      <c r="AR17" s="26"/>
      <c r="AS17" s="2"/>
      <c r="AT17" s="26"/>
      <c r="AU17" s="2"/>
      <c r="AV17" s="26"/>
      <c r="AW17" s="2"/>
      <c r="AX17" s="26"/>
      <c r="AY17" s="2"/>
      <c r="AZ17" s="26"/>
      <c r="BA17" s="2"/>
      <c r="BB17" s="3"/>
      <c r="BC17" s="26"/>
      <c r="BD17" s="2"/>
      <c r="BE17" s="3"/>
      <c r="BF17" s="26"/>
      <c r="BG17" s="2"/>
      <c r="BH17" s="3"/>
      <c r="BI17" s="26"/>
      <c r="BJ17" s="2"/>
      <c r="BK17" s="3"/>
      <c r="BL17" s="26"/>
      <c r="BM17" s="2"/>
      <c r="BN17" s="3"/>
      <c r="BO17" s="3"/>
      <c r="BP17" s="2"/>
      <c r="BQ17" s="3"/>
      <c r="BR17" s="26"/>
      <c r="BS17" s="2"/>
      <c r="BT17" s="3"/>
      <c r="BU17" s="26"/>
      <c r="BV17" s="2"/>
      <c r="BW17" s="3"/>
      <c r="BX17" s="26"/>
      <c r="BY17" s="2"/>
      <c r="BZ17" s="3"/>
      <c r="CA17" s="26"/>
      <c r="CB17" s="2"/>
      <c r="CC17" s="3"/>
      <c r="CD17" s="26"/>
      <c r="CE17" s="2"/>
      <c r="CF17" s="3"/>
      <c r="CG17" s="26"/>
      <c r="CH17" s="2"/>
      <c r="CI17" s="3"/>
      <c r="CJ17" s="26"/>
      <c r="CK17" s="2"/>
      <c r="CL17" s="3"/>
    </row>
    <row r="18" spans="1:91" x14ac:dyDescent="0.35">
      <c r="B18" s="1"/>
      <c r="C18" s="20" t="s">
        <v>24</v>
      </c>
      <c r="D18" s="27">
        <f>+D19+D20+D21</f>
        <v>202096.95600097318</v>
      </c>
      <c r="E18" s="17">
        <v>3.45655085573272E-2</v>
      </c>
      <c r="F18" s="27">
        <f>+F19+F20+F21</f>
        <v>198696.135899646</v>
      </c>
      <c r="G18" s="17">
        <v>3.5323606401685109E-2</v>
      </c>
      <c r="H18" s="27">
        <f>+H19+H20+H21</f>
        <v>214055.86843593998</v>
      </c>
      <c r="I18" s="17">
        <v>3.6034949341898714E-2</v>
      </c>
      <c r="J18" s="17">
        <f t="shared" ref="J18:J38" si="11">(+H18-F18)/F18</f>
        <v>7.7302623258117112E-2</v>
      </c>
      <c r="K18" s="27">
        <f>+K19+K20+K21</f>
        <v>207775.22087618499</v>
      </c>
      <c r="L18" s="17">
        <v>3.3635032384297027E-2</v>
      </c>
      <c r="M18" s="17">
        <f t="shared" si="3"/>
        <v>-2.934116035054924E-2</v>
      </c>
      <c r="N18" s="27">
        <f>+N19+N20+N21</f>
        <v>209093.90384000001</v>
      </c>
      <c r="O18" s="17">
        <v>3.2712893424765181E-2</v>
      </c>
      <c r="P18" s="17">
        <f>(+N18-H18)/H18</f>
        <v>-2.3180698722235313E-2</v>
      </c>
      <c r="Q18" s="27">
        <f>+Q19+Q20+Q21</f>
        <v>250613.15229999999</v>
      </c>
      <c r="R18" s="17">
        <v>3.8532240365193246E-2</v>
      </c>
      <c r="S18" s="17">
        <f>(+Q18-K18)/K18</f>
        <v>0.2061743996380708</v>
      </c>
      <c r="T18" s="27">
        <f>+T19+T20+T21</f>
        <v>286875.26</v>
      </c>
      <c r="U18" s="17">
        <f>+T18/$T$12</f>
        <v>4.3236249222338083E-2</v>
      </c>
      <c r="V18" s="27">
        <f>+V19+V20+V21</f>
        <v>288196.17399876</v>
      </c>
      <c r="W18" s="17">
        <f>+V18/$AV$12</f>
        <v>2.6438153066827435E-2</v>
      </c>
      <c r="X18" s="27">
        <f>+X19+X20+X21</f>
        <v>316230.29159161</v>
      </c>
      <c r="Y18" s="17">
        <f>+X18/$X$12</f>
        <v>4.7214733056422861E-2</v>
      </c>
      <c r="Z18" s="27">
        <f>+Z19+Z20+Z21</f>
        <v>359163.88098388031</v>
      </c>
      <c r="AA18" s="17">
        <f>+Z18/$Z$12</f>
        <v>5.2511435783226645E-2</v>
      </c>
      <c r="AB18" s="27">
        <f>+AB19+AB20+AB21</f>
        <v>357949.93702639663</v>
      </c>
      <c r="AC18" s="17">
        <f>+AB18/$AV$12</f>
        <v>3.2837129980101097E-2</v>
      </c>
      <c r="AD18" s="27">
        <f>+AD19+AD20+AD21</f>
        <v>401647.54348237102</v>
      </c>
      <c r="AE18" s="17">
        <f>+AD18/$AD$12</f>
        <v>5.3495416452056396E-2</v>
      </c>
      <c r="AF18" s="27">
        <f>+AF19+AF20+AF21</f>
        <v>443009.50200000004</v>
      </c>
      <c r="AG18" s="17">
        <f>+AF18/$AF$12</f>
        <v>5.5612208514144099E-2</v>
      </c>
      <c r="AH18" s="28">
        <f>+AH19+AH20+AH21</f>
        <v>426896.31046810001</v>
      </c>
      <c r="AI18" s="18">
        <f>+AH18/$AH$12</f>
        <v>5.2240987025258596E-2</v>
      </c>
      <c r="AJ18" s="28">
        <f>+AJ19+AJ20+AJ21</f>
        <v>427758.52831809997</v>
      </c>
      <c r="AK18" s="18">
        <f>+AJ18/$AJ$12</f>
        <v>5.222083268882359E-2</v>
      </c>
      <c r="AL18" s="28">
        <f>+AL19+AL20+AL21</f>
        <v>464756.07685985998</v>
      </c>
      <c r="AM18" s="18">
        <f>+AL18/$AL$12</f>
        <v>5.2541725193546406E-2</v>
      </c>
      <c r="AN18" s="28">
        <f>+AN19+AN20+AN21</f>
        <v>520905.40935199999</v>
      </c>
      <c r="AO18" s="18">
        <f>+AN18/$AN$12</f>
        <v>5.4868359752097556E-2</v>
      </c>
      <c r="AP18" s="28">
        <f>+AP19+AP20+AP21</f>
        <v>489149.53802904004</v>
      </c>
      <c r="AQ18" s="19">
        <f>+AP18/$AP$12</f>
        <v>5.1298004675494335E-2</v>
      </c>
      <c r="AR18" s="28">
        <f>+AR19+AR20+AR21</f>
        <v>598985.920346</v>
      </c>
      <c r="AS18" s="19">
        <f>+AR18/$AR$12</f>
        <v>6.1495435824560837E-2</v>
      </c>
      <c r="AT18" s="28">
        <f>+AT19+AT20+AT21</f>
        <v>750848.63534091006</v>
      </c>
      <c r="AU18" s="19">
        <f>+AT18/$AT$12</f>
        <v>7.0739885993638563E-2</v>
      </c>
      <c r="AV18" s="28">
        <f>+AV19+AV20+AV21</f>
        <v>770659.71549012</v>
      </c>
      <c r="AW18" s="19">
        <f>+AV18/$AV$12</f>
        <v>7.069774465726647E-2</v>
      </c>
      <c r="AX18" s="28">
        <f>+AX19+AX20+AX21</f>
        <v>792999.37565930001</v>
      </c>
      <c r="AY18" s="19">
        <f>+AX18/$AX$12</f>
        <v>7.20584319010074E-2</v>
      </c>
      <c r="AZ18" s="28">
        <f>+AZ19+AZ20+AZ21</f>
        <v>915268.97405915603</v>
      </c>
      <c r="BA18" s="19">
        <f>+AZ18/$AZ$12</f>
        <v>7.9611222024615624E-2</v>
      </c>
      <c r="BB18" s="3">
        <f t="shared" si="1"/>
        <v>0.15418624800076422</v>
      </c>
      <c r="BC18" s="28">
        <f>+BC19+BC20+BC21</f>
        <v>875666.88849867007</v>
      </c>
      <c r="BD18" s="19">
        <f>+BC18/$BC$12</f>
        <v>7.8990385300729202E-2</v>
      </c>
      <c r="BE18" s="3">
        <f t="shared" si="4"/>
        <v>-4.3268248660121605E-2</v>
      </c>
      <c r="BF18" s="28">
        <f>+BF19+BF20+BF21</f>
        <v>871472.86367057997</v>
      </c>
      <c r="BG18" s="19">
        <f>+BF18/$BF$12</f>
        <v>8.2157698990118835E-2</v>
      </c>
      <c r="BH18" s="3">
        <f>+(BF18-BC18)/BC18</f>
        <v>-4.7895208591028837E-3</v>
      </c>
      <c r="BI18" s="28">
        <f>+BI19+BI20+BI21</f>
        <v>882582.48189635994</v>
      </c>
      <c r="BJ18" s="19">
        <f>+BI18/$BI$12</f>
        <v>8.3761237636109168E-2</v>
      </c>
      <c r="BK18" s="3">
        <f>+(BI18-BF18)/BF18</f>
        <v>1.2748094276839633E-2</v>
      </c>
      <c r="BL18" s="28">
        <f>+BL19+BL20+BL21</f>
        <v>896649.95526568999</v>
      </c>
      <c r="BM18" s="19">
        <f>+BL18/$BL$12</f>
        <v>7.6188085857380794E-2</v>
      </c>
      <c r="BN18" s="3">
        <f>+(BL18-BI18)/BI18</f>
        <v>1.5938990018365184E-2</v>
      </c>
      <c r="BO18" s="28">
        <f>+BO19+BO20+BO21</f>
        <v>928458.57178808039</v>
      </c>
      <c r="BP18" s="19">
        <f>+BO18/$BO$12</f>
        <v>0.16742274263491255</v>
      </c>
      <c r="BQ18" s="3">
        <f>+(BO18-BL18)/BL18</f>
        <v>3.5474954674999178E-2</v>
      </c>
      <c r="BR18" s="28">
        <f>+BR19+BR20+BR21</f>
        <v>912489.66020743491</v>
      </c>
      <c r="BS18" s="19">
        <f>+BR18/$BR$12</f>
        <v>0.17706663707189474</v>
      </c>
      <c r="BT18" s="3">
        <f t="shared" si="0"/>
        <v>-1.7199379774039465E-2</v>
      </c>
      <c r="BU18" s="28">
        <f>+BU19+BU20+BU21</f>
        <v>892440.80157961091</v>
      </c>
      <c r="BV18" s="19">
        <f>+BU18/$BU$12</f>
        <v>0.17732815858437254</v>
      </c>
      <c r="BW18" s="3">
        <f>+(BU18-BR18)/BR18</f>
        <v>-2.197160088725424E-2</v>
      </c>
      <c r="BX18" s="28">
        <f>+BX19+BX20+BX21</f>
        <v>823906.13322404691</v>
      </c>
      <c r="BY18" s="19">
        <f>+BX18/$BX$12</f>
        <v>0.17840628886892257</v>
      </c>
      <c r="BZ18" s="3">
        <f>+(BX18-BU18)/BU18</f>
        <v>-7.6794638069279622E-2</v>
      </c>
      <c r="CA18" s="28">
        <f>+CA19+CA20+CA21</f>
        <v>721329.09919097903</v>
      </c>
      <c r="CB18" s="19">
        <f>+CA18/$CA$12</f>
        <v>0.16487592133823037</v>
      </c>
      <c r="CC18" s="3">
        <f>+(CA18-BX18)/BX18</f>
        <v>-0.12450087442809925</v>
      </c>
      <c r="CD18" s="28">
        <f>+CD19+CD20+CD21</f>
        <v>674580.45222140371</v>
      </c>
      <c r="CE18" s="19">
        <f>+CD18/$CD$12</f>
        <v>0.15040410231492576</v>
      </c>
      <c r="CF18" s="3">
        <f>+(CD18-CA18)/CA18</f>
        <v>-6.4809040730517034E-2</v>
      </c>
      <c r="CG18" s="28">
        <f>+CG19+CG20+CG21</f>
        <v>686065.19573028001</v>
      </c>
      <c r="CH18" s="19">
        <f>+CG18/$CG$12</f>
        <v>0.15000858562729152</v>
      </c>
      <c r="CI18" s="3">
        <f>+(CG18-CD18)/CD18</f>
        <v>1.7025016765690237E-2</v>
      </c>
      <c r="CJ18" s="28">
        <f>+CJ19+CJ20+CJ21</f>
        <v>745901.87123264489</v>
      </c>
      <c r="CK18" s="19">
        <f>+CJ18/$CJ$12</f>
        <v>0.1571763888319162</v>
      </c>
      <c r="CL18" s="3">
        <f>+(CJ18-CG18)/CG18</f>
        <v>8.7217185589296517E-2</v>
      </c>
    </row>
    <row r="19" spans="1:91" x14ac:dyDescent="0.35">
      <c r="B19" s="1"/>
      <c r="C19" s="23" t="s">
        <v>16</v>
      </c>
      <c r="D19" s="25">
        <v>145905.38571261318</v>
      </c>
      <c r="E19" s="16">
        <v>0.72195736442418545</v>
      </c>
      <c r="F19" s="25">
        <v>143018.37817924601</v>
      </c>
      <c r="G19" s="16">
        <v>0.71978439606635958</v>
      </c>
      <c r="H19" s="25">
        <v>154807.45818680999</v>
      </c>
      <c r="I19" s="16">
        <v>0.72321053058696627</v>
      </c>
      <c r="J19" s="16">
        <f t="shared" si="11"/>
        <v>8.2430525067125587E-2</v>
      </c>
      <c r="K19" s="25">
        <v>152154.769</v>
      </c>
      <c r="L19" s="16">
        <v>0.73230469137929743</v>
      </c>
      <c r="M19" s="16">
        <f t="shared" si="3"/>
        <v>-1.7135409481427739E-2</v>
      </c>
      <c r="N19" s="25">
        <v>154001.52960000001</v>
      </c>
      <c r="O19" s="16">
        <v>0.53682401751897324</v>
      </c>
      <c r="P19" s="16">
        <f>(+N19-H19)/H19</f>
        <v>-5.2060061979536491E-3</v>
      </c>
      <c r="Q19" s="25">
        <v>184480.70799999998</v>
      </c>
      <c r="R19" s="16">
        <v>0.64306942327477101</v>
      </c>
      <c r="S19" s="16">
        <f t="shared" ref="S19:S21" si="12">(+Q19-K19)/K19</f>
        <v>0.21245432668627023</v>
      </c>
      <c r="T19" s="25">
        <v>207102.65000000002</v>
      </c>
      <c r="U19" s="16">
        <f>+T19/$T$18</f>
        <v>0.72192579450734096</v>
      </c>
      <c r="V19" s="25">
        <v>194849.75725184</v>
      </c>
      <c r="W19" s="16">
        <f>+V19/$V$18</f>
        <v>0.67610112427335123</v>
      </c>
      <c r="X19" s="25">
        <v>221861.21534398</v>
      </c>
      <c r="Y19" s="16">
        <f>+X19/$X$18</f>
        <v>0.7015811617139408</v>
      </c>
      <c r="Z19" s="25">
        <v>258655.72117490915</v>
      </c>
      <c r="AA19" s="16">
        <f>+Z19/$Z$18</f>
        <v>0.72016072570091738</v>
      </c>
      <c r="AB19" s="25">
        <v>248064.79581878497</v>
      </c>
      <c r="AC19" s="16">
        <f>+AB19/$AV$18</f>
        <v>0.32188628889343474</v>
      </c>
      <c r="AD19" s="25">
        <v>263826.1264701875</v>
      </c>
      <c r="AE19" s="16">
        <f>+AD19/$AD$18</f>
        <v>0.65685980345543249</v>
      </c>
      <c r="AF19" s="25">
        <v>316257.91200000001</v>
      </c>
      <c r="AG19" s="16">
        <f>+AF19/$AF$18</f>
        <v>0.71388516628250553</v>
      </c>
      <c r="AH19" s="25">
        <v>313284.29200810002</v>
      </c>
      <c r="AI19" s="15">
        <f>+AH19/$AH$18</f>
        <v>0.73386507291332115</v>
      </c>
      <c r="AJ19" s="25">
        <v>314022.7080781</v>
      </c>
      <c r="AK19" s="15">
        <f>+AJ19/$AJ$18</f>
        <v>0.73411209196179705</v>
      </c>
      <c r="AL19" s="25">
        <v>357928.57442785997</v>
      </c>
      <c r="AM19" s="15">
        <f>+AL19/$AL$18</f>
        <v>0.77014286041447033</v>
      </c>
      <c r="AN19" s="25">
        <v>390258.981852</v>
      </c>
      <c r="AO19" s="15">
        <f>+AN19/$AN$18</f>
        <v>0.74919356728792175</v>
      </c>
      <c r="AP19" s="25">
        <v>373493.21060604003</v>
      </c>
      <c r="AQ19" s="2">
        <f>+AP19/$AP$18</f>
        <v>0.76355629836834549</v>
      </c>
      <c r="AR19" s="25">
        <v>487177.31138600002</v>
      </c>
      <c r="AS19" s="2">
        <f>+AR19/$AR$18</f>
        <v>0.81333683286676495</v>
      </c>
      <c r="AT19" s="25">
        <v>617112.65889691003</v>
      </c>
      <c r="AU19" s="2">
        <f>+AT19/$AT$18</f>
        <v>0.82188690216733296</v>
      </c>
      <c r="AV19" s="25">
        <v>620669.65877791995</v>
      </c>
      <c r="AW19" s="2">
        <f>+AV19/$AV$18</f>
        <v>0.80537446852686445</v>
      </c>
      <c r="AX19" s="25">
        <v>654434.36234246008</v>
      </c>
      <c r="AY19" s="2">
        <f>+AX19/$AX$18</f>
        <v>0.82526466278534338</v>
      </c>
      <c r="AZ19" s="25">
        <v>760230.59091262997</v>
      </c>
      <c r="BA19" s="2">
        <f>+AZ19/$AZ$18</f>
        <v>0.83060893842064665</v>
      </c>
      <c r="BB19" s="3">
        <f t="shared" si="1"/>
        <v>0.16166056469205936</v>
      </c>
      <c r="BC19" s="25">
        <v>731616.34728082002</v>
      </c>
      <c r="BD19" s="2">
        <f>+BC19/$BC$18</f>
        <v>0.83549618797985548</v>
      </c>
      <c r="BE19" s="3">
        <f t="shared" si="4"/>
        <v>-3.763890058338689E-2</v>
      </c>
      <c r="BF19" s="25">
        <v>733843.35497057997</v>
      </c>
      <c r="BG19" s="2">
        <f>+BF19/$BF$18</f>
        <v>0.84207252521861142</v>
      </c>
      <c r="BH19" s="3">
        <f>+(BF19-BC19)/BC19</f>
        <v>3.0439556169528106E-3</v>
      </c>
      <c r="BI19" s="25">
        <v>747945.89649635996</v>
      </c>
      <c r="BJ19" s="2">
        <f>+BI19/$BI$18</f>
        <v>0.84745155477059408</v>
      </c>
      <c r="BK19" s="3">
        <f>+(BI19-BF19)/BF19</f>
        <v>1.9217373067778702E-2</v>
      </c>
      <c r="BL19" s="25">
        <v>761289.30642568995</v>
      </c>
      <c r="BM19" s="2">
        <f>+BL19/$BL$18</f>
        <v>0.84903735505134692</v>
      </c>
      <c r="BN19" s="3">
        <f>+(BL19-BI19)/BI19</f>
        <v>1.7840073716341238E-2</v>
      </c>
      <c r="BO19" s="25">
        <v>765931.30950808036</v>
      </c>
      <c r="BP19" s="2">
        <f>+BO19/$BO$18</f>
        <v>0.82494936530447938</v>
      </c>
      <c r="BQ19" s="3">
        <f>+(BO19-BL19)/BL19</f>
        <v>6.097554560676754E-3</v>
      </c>
      <c r="BR19" s="25">
        <v>754504.90420743497</v>
      </c>
      <c r="BS19" s="2">
        <f>+BR19/$BR$18</f>
        <v>0.82686405897017456</v>
      </c>
      <c r="BT19" s="3">
        <f t="shared" si="0"/>
        <v>-1.4918315988393271E-2</v>
      </c>
      <c r="BU19" s="25">
        <v>730852.35857961082</v>
      </c>
      <c r="BV19" s="2">
        <f>+BU19/$BU$18</f>
        <v>0.8189365135323371</v>
      </c>
      <c r="BW19" s="3">
        <f t="shared" ref="BW19:BW21" si="13">+(BU19-BR19)/BR19</f>
        <v>-3.134843192658876E-2</v>
      </c>
      <c r="BX19" s="25">
        <v>677487.27422404697</v>
      </c>
      <c r="BY19" s="2">
        <f>+BX19/$BX$18</f>
        <v>0.82228696559516457</v>
      </c>
      <c r="BZ19" s="3">
        <f t="shared" ref="BZ19:BZ21" si="14">+(BX19-BU19)/BU19</f>
        <v>-7.3017598874931824E-2</v>
      </c>
      <c r="CA19" s="25">
        <v>582899.59731097904</v>
      </c>
      <c r="CB19" s="2">
        <f>+CA19/$CA$18</f>
        <v>0.80809106129884634</v>
      </c>
      <c r="CC19" s="3">
        <f t="shared" ref="CC19:CC20" si="15">+(CA19-BX19)/BX19</f>
        <v>-0.13961542970885019</v>
      </c>
      <c r="CD19" s="25">
        <v>543149.38934140373</v>
      </c>
      <c r="CE19" s="2">
        <f>+CD19/$CD$18</f>
        <v>0.80516621487148721</v>
      </c>
      <c r="CF19" s="3">
        <f>+(CD19-CA19)/CA19</f>
        <v>-6.8193919077916998E-2</v>
      </c>
      <c r="CG19" s="25">
        <v>563646.84807028004</v>
      </c>
      <c r="CH19" s="2">
        <f>+CG19/$CG$18</f>
        <v>0.82156455622312663</v>
      </c>
      <c r="CI19" s="3">
        <f>+(CG19-CD19)/CD19</f>
        <v>3.7738160313004358E-2</v>
      </c>
      <c r="CJ19" s="25">
        <v>612160.56172211492</v>
      </c>
      <c r="CK19" s="2">
        <f>+CJ19/$CJ$18</f>
        <v>0.82069851991453657</v>
      </c>
      <c r="CL19" s="3">
        <f>+(CJ19-CG19)/CG19</f>
        <v>8.6071116724821622E-2</v>
      </c>
    </row>
    <row r="20" spans="1:91" x14ac:dyDescent="0.35">
      <c r="B20" s="1"/>
      <c r="C20" s="23" t="s">
        <v>17</v>
      </c>
      <c r="D20" s="25">
        <v>22551.444970799999</v>
      </c>
      <c r="E20" s="16">
        <v>0.11158725701287359</v>
      </c>
      <c r="F20" s="25">
        <v>21411.253402400002</v>
      </c>
      <c r="G20" s="16">
        <v>0.10775878104249609</v>
      </c>
      <c r="H20" s="25">
        <v>19507.456863009997</v>
      </c>
      <c r="I20" s="16">
        <v>9.1132548738545566E-2</v>
      </c>
      <c r="J20" s="16">
        <f t="shared" si="11"/>
        <v>-8.8915697909427716E-2</v>
      </c>
      <c r="K20" s="25">
        <v>17340.871876185</v>
      </c>
      <c r="L20" s="16">
        <v>8.345976870128595E-2</v>
      </c>
      <c r="M20" s="16">
        <f t="shared" si="3"/>
        <v>-0.11106445099634035</v>
      </c>
      <c r="N20" s="25">
        <v>17074.234400000001</v>
      </c>
      <c r="O20" s="16">
        <v>5.9517974467369547E-2</v>
      </c>
      <c r="P20" s="16">
        <f>(+N20-H20)/H20</f>
        <v>-0.12473294084908973</v>
      </c>
      <c r="Q20" s="25">
        <v>16961.778999999999</v>
      </c>
      <c r="R20" s="16">
        <v>5.9125973428311655E-2</v>
      </c>
      <c r="S20" s="16">
        <f t="shared" si="12"/>
        <v>-2.1861235057369074E-2</v>
      </c>
      <c r="T20" s="25">
        <v>18704.800999999999</v>
      </c>
      <c r="U20" s="16">
        <f t="shared" ref="U20:U21" si="16">+T20/$T$18</f>
        <v>6.520186160354155E-2</v>
      </c>
      <c r="V20" s="25">
        <v>19840.72097382</v>
      </c>
      <c r="W20" s="16">
        <f t="shared" ref="W20:W21" si="17">+V20/$V$18</f>
        <v>6.884449817125389E-2</v>
      </c>
      <c r="X20" s="25">
        <v>21017.523039029998</v>
      </c>
      <c r="Y20" s="16">
        <f t="shared" ref="Y20:Y21" si="18">+X20/$X$18</f>
        <v>6.646271276937854E-2</v>
      </c>
      <c r="Z20" s="25">
        <v>21976.3812078952</v>
      </c>
      <c r="AA20" s="16">
        <f>+Z20/$Z$18</f>
        <v>6.1187614822776473E-2</v>
      </c>
      <c r="AB20" s="25">
        <v>22122.293579540834</v>
      </c>
      <c r="AC20" s="16">
        <f>+AB20/$AV$18</f>
        <v>2.8705657159556624E-2</v>
      </c>
      <c r="AD20" s="25">
        <v>24426.298456181499</v>
      </c>
      <c r="AE20" s="16">
        <f t="shared" ref="AE20:AE21" si="19">+AD20/$AD$18</f>
        <v>6.081525669097889E-2</v>
      </c>
      <c r="AF20" s="25">
        <v>22649.32</v>
      </c>
      <c r="AG20" s="16">
        <f t="shared" ref="AG20:AG21" si="20">+AF20/$AF$18</f>
        <v>5.1126036569752849E-2</v>
      </c>
      <c r="AH20" s="25">
        <v>22194.660950000001</v>
      </c>
      <c r="AI20" s="15">
        <f>+AH20/$AH$18</f>
        <v>5.1990753739855775E-2</v>
      </c>
      <c r="AJ20" s="25">
        <v>22215.591800000002</v>
      </c>
      <c r="AK20" s="15">
        <f t="shared" ref="AK20:AK21" si="21">+AJ20/$AJ$18</f>
        <v>5.1934889264158672E-2</v>
      </c>
      <c r="AL20" s="25">
        <v>14459.8351</v>
      </c>
      <c r="AM20" s="15">
        <f>+AL20/$AL$18</f>
        <v>3.1112740252259553E-2</v>
      </c>
      <c r="AN20" s="25">
        <v>21803.132099999999</v>
      </c>
      <c r="AO20" s="15">
        <f t="shared" ref="AO20:AO21" si="22">+AN20/$AN$18</f>
        <v>4.1856221318804947E-2</v>
      </c>
      <c r="AP20" s="25">
        <v>20114.6643</v>
      </c>
      <c r="AQ20" s="2">
        <f t="shared" ref="AQ20:AQ21" si="23">+AP20/$AP$18</f>
        <v>4.1121707650076174E-2</v>
      </c>
      <c r="AR20" s="25">
        <v>16260.984640000001</v>
      </c>
      <c r="AS20" s="2">
        <f t="shared" ref="AS20:AS21" si="24">+AR20/$AR$18</f>
        <v>2.7147523986218169E-2</v>
      </c>
      <c r="AT20" s="25">
        <v>26364.52506</v>
      </c>
      <c r="AU20" s="2">
        <f>+AT20/$AT$18</f>
        <v>3.5112969271136302E-2</v>
      </c>
      <c r="AV20" s="25">
        <v>27280.149999999998</v>
      </c>
      <c r="AW20" s="2">
        <f>+AV20/$AV$18</f>
        <v>3.5398437795143498E-2</v>
      </c>
      <c r="AX20" s="25">
        <v>29184.74512</v>
      </c>
      <c r="AY20" s="2">
        <f>+AX20/$AX$18</f>
        <v>3.6802986251705166E-2</v>
      </c>
      <c r="AZ20" s="25">
        <v>31694.07084</v>
      </c>
      <c r="BA20" s="2">
        <f>+AZ20/$AZ$18</f>
        <v>3.4628149471120973E-2</v>
      </c>
      <c r="BB20" s="3">
        <f t="shared" si="1"/>
        <v>8.5980731018287571E-2</v>
      </c>
      <c r="BC20" s="25">
        <v>27149.18764</v>
      </c>
      <c r="BD20" s="2">
        <f t="shared" ref="BD20:BD21" si="25">+BC20/$BC$18</f>
        <v>3.1004013051752193E-2</v>
      </c>
      <c r="BE20" s="3">
        <f t="shared" si="4"/>
        <v>-0.14339853100422995</v>
      </c>
      <c r="BF20" s="25">
        <v>26801.50144</v>
      </c>
      <c r="BG20" s="2">
        <f>+BF20/$BF$18</f>
        <v>3.0754258172898279E-2</v>
      </c>
      <c r="BH20" s="3">
        <f>+(BF20-BC20)/BC20</f>
        <v>-1.2806504732677155E-2</v>
      </c>
      <c r="BI20" s="25">
        <v>28625.694479999998</v>
      </c>
      <c r="BJ20" s="2">
        <f>+BI20/$BI$18</f>
        <v>3.2434016159592731E-2</v>
      </c>
      <c r="BK20" s="3">
        <f>+(BI20-BF20)/BF20</f>
        <v>6.8063091319110758E-2</v>
      </c>
      <c r="BL20" s="25">
        <v>29520.422919999997</v>
      </c>
      <c r="BM20" s="2">
        <f t="shared" ref="BM20:BM21" si="26">+BL20/$BL$18</f>
        <v>3.2923018338023205E-2</v>
      </c>
      <c r="BN20" s="3">
        <f>+(BL20-BI20)/BI20</f>
        <v>3.1256130418953559E-2</v>
      </c>
      <c r="BO20" s="25">
        <v>31063.103520000001</v>
      </c>
      <c r="BP20" s="2">
        <f>+BO20/$BO$18</f>
        <v>3.3456639277051253E-2</v>
      </c>
      <c r="BQ20" s="3">
        <f>+(BO20-BL20)/BL20</f>
        <v>5.2258079234862247E-2</v>
      </c>
      <c r="BR20" s="25">
        <v>29163.928</v>
      </c>
      <c r="BS20" s="2">
        <f>+BR20/$BR$18</f>
        <v>3.1960831198207994E-2</v>
      </c>
      <c r="BT20" s="3">
        <f t="shared" si="0"/>
        <v>-6.1139271508309376E-2</v>
      </c>
      <c r="BU20" s="25">
        <v>29026.45304</v>
      </c>
      <c r="BV20" s="2">
        <f>+BU20/$BU$18</f>
        <v>3.2524793788701142E-2</v>
      </c>
      <c r="BW20" s="3">
        <f t="shared" si="13"/>
        <v>-4.7138698189077809E-3</v>
      </c>
      <c r="BX20" s="25">
        <v>27052.531199999998</v>
      </c>
      <c r="BY20" s="2">
        <f>+BX20/$BX$18</f>
        <v>3.2834482120117359E-2</v>
      </c>
      <c r="BZ20" s="3">
        <f t="shared" si="14"/>
        <v>-6.800423866050162E-2</v>
      </c>
      <c r="CA20" s="25">
        <v>26106.31796</v>
      </c>
      <c r="CB20" s="2">
        <f>+CA20/$CA$18</f>
        <v>3.6191965621905534E-2</v>
      </c>
      <c r="CC20" s="3">
        <f t="shared" si="15"/>
        <v>-3.4976883789713455E-2</v>
      </c>
      <c r="CD20" s="25">
        <v>21182.728639999998</v>
      </c>
      <c r="CE20" s="2">
        <f>+CD20/$CD$18</f>
        <v>3.1401337780015637E-2</v>
      </c>
      <c r="CF20" s="3">
        <f>+(CD20-CA20)/CA20</f>
        <v>-0.18859761562484251</v>
      </c>
      <c r="CG20" s="25">
        <v>189.15079999999998</v>
      </c>
      <c r="CH20" s="2">
        <f>+CG20/$CG$18</f>
        <v>2.7570382694994312E-4</v>
      </c>
      <c r="CI20" s="3">
        <f>+(CG20-CD20)/CD20</f>
        <v>-0.99107051772155452</v>
      </c>
      <c r="CJ20" s="25">
        <v>186.95209395000003</v>
      </c>
      <c r="CK20" s="2">
        <f>+CJ20/$CJ$18</f>
        <v>2.5063899309040632E-4</v>
      </c>
      <c r="CL20" s="3">
        <f>+(CJ20-CG20)/CG20</f>
        <v>-1.1624090672627036E-2</v>
      </c>
    </row>
    <row r="21" spans="1:91" x14ac:dyDescent="0.35">
      <c r="B21" s="1"/>
      <c r="C21" s="23" t="s">
        <v>18</v>
      </c>
      <c r="D21" s="25">
        <v>33640.12531756</v>
      </c>
      <c r="E21" s="16">
        <v>0.1664553785629409</v>
      </c>
      <c r="F21" s="25">
        <v>34266.504317999999</v>
      </c>
      <c r="G21" s="16">
        <v>0.17245682289114433</v>
      </c>
      <c r="H21" s="25">
        <v>39740.953386119996</v>
      </c>
      <c r="I21" s="16">
        <v>0.18565692067448822</v>
      </c>
      <c r="J21" s="16">
        <f t="shared" si="11"/>
        <v>0.15976094372848823</v>
      </c>
      <c r="K21" s="25">
        <v>38279.58</v>
      </c>
      <c r="L21" s="16">
        <v>0.18423553991941669</v>
      </c>
      <c r="M21" s="16">
        <f t="shared" si="3"/>
        <v>-3.6772479309225545E-2</v>
      </c>
      <c r="N21" s="25">
        <v>38018.139839999996</v>
      </c>
      <c r="O21" s="16">
        <v>0.1325249860862871</v>
      </c>
      <c r="P21" s="16">
        <f>(+N21-H21)/H21</f>
        <v>-4.3351087463385146E-2</v>
      </c>
      <c r="Q21" s="25">
        <v>49170.665300000001</v>
      </c>
      <c r="R21" s="16">
        <v>0.17140085659530208</v>
      </c>
      <c r="S21" s="16">
        <f t="shared" si="12"/>
        <v>0.2845142318698376</v>
      </c>
      <c r="T21" s="25">
        <v>61067.808999999994</v>
      </c>
      <c r="U21" s="16">
        <f t="shared" si="16"/>
        <v>0.21287234388911749</v>
      </c>
      <c r="V21" s="25">
        <v>73505.6957731</v>
      </c>
      <c r="W21" s="16">
        <f t="shared" si="17"/>
        <v>0.25505437755539484</v>
      </c>
      <c r="X21" s="25">
        <v>73351.553208600002</v>
      </c>
      <c r="Y21" s="16">
        <f t="shared" si="18"/>
        <v>0.23195612551668063</v>
      </c>
      <c r="Z21" s="25">
        <v>78531.778601076003</v>
      </c>
      <c r="AA21" s="16">
        <f>+Z21/$Z$18</f>
        <v>0.2186516594763063</v>
      </c>
      <c r="AB21" s="25">
        <v>87762.847628070798</v>
      </c>
      <c r="AC21" s="16">
        <f>+AB21/$AV$18</f>
        <v>0.11388015470908046</v>
      </c>
      <c r="AD21" s="25">
        <v>113395.11855600201</v>
      </c>
      <c r="AE21" s="16">
        <f t="shared" si="19"/>
        <v>0.28232493985358859</v>
      </c>
      <c r="AF21" s="25">
        <v>104102.27</v>
      </c>
      <c r="AG21" s="16">
        <f t="shared" si="20"/>
        <v>0.23498879714774154</v>
      </c>
      <c r="AH21" s="25">
        <v>91417.357510000002</v>
      </c>
      <c r="AI21" s="15">
        <f>+AH21/$AH$18</f>
        <v>0.21414417334682306</v>
      </c>
      <c r="AJ21" s="25">
        <v>91520.228439999992</v>
      </c>
      <c r="AK21" s="15">
        <f t="shared" si="21"/>
        <v>0.21395301877404427</v>
      </c>
      <c r="AL21" s="25">
        <v>92367.667331999997</v>
      </c>
      <c r="AM21" s="15">
        <f>+AL21/$AL$18</f>
        <v>0.19874439933327012</v>
      </c>
      <c r="AN21" s="25">
        <v>108843.2954</v>
      </c>
      <c r="AO21" s="15">
        <f t="shared" si="22"/>
        <v>0.20895021139327338</v>
      </c>
      <c r="AP21" s="25">
        <v>95541.663122999991</v>
      </c>
      <c r="AQ21" s="2">
        <f t="shared" si="23"/>
        <v>0.19532199398157835</v>
      </c>
      <c r="AR21" s="25">
        <v>95547.624320000003</v>
      </c>
      <c r="AS21" s="2">
        <f t="shared" si="24"/>
        <v>0.15951564314701686</v>
      </c>
      <c r="AT21" s="25">
        <v>107371.45138399999</v>
      </c>
      <c r="AU21" s="2">
        <f>+AT21/$AT$18</f>
        <v>0.14300012856153066</v>
      </c>
      <c r="AV21" s="25">
        <v>122709.9067122</v>
      </c>
      <c r="AW21" s="2">
        <f>+AV21/$AV$18</f>
        <v>0.15922709367799201</v>
      </c>
      <c r="AX21" s="25">
        <v>109380.26819684</v>
      </c>
      <c r="AY21" s="2">
        <f>+AX21/$AX$18</f>
        <v>0.13793235096295151</v>
      </c>
      <c r="AZ21" s="25">
        <v>123344.312306526</v>
      </c>
      <c r="BA21" s="2">
        <f>+AZ21/$AZ$18</f>
        <v>0.1347629121082323</v>
      </c>
      <c r="BB21" s="3">
        <f t="shared" si="1"/>
        <v>0.12766511126628799</v>
      </c>
      <c r="BC21" s="25">
        <v>116901.35357785001</v>
      </c>
      <c r="BD21" s="2">
        <f t="shared" si="25"/>
        <v>0.13349979896839226</v>
      </c>
      <c r="BE21" s="3">
        <f t="shared" si="4"/>
        <v>-5.2235555966816179E-2</v>
      </c>
      <c r="BF21" s="25">
        <v>110828.00726</v>
      </c>
      <c r="BG21" s="2">
        <f>+BF21/$BF$18</f>
        <v>0.12717321660849029</v>
      </c>
      <c r="BH21" s="3">
        <f>+(BF21-BC21)/BC21</f>
        <v>-5.1952745900461179E-2</v>
      </c>
      <c r="BI21" s="25">
        <v>106010.89092000001</v>
      </c>
      <c r="BJ21" s="2">
        <f>+BI21/$BI$18</f>
        <v>0.12011442906981319</v>
      </c>
      <c r="BK21" s="3">
        <f>+(BI21-BF21)/BF21</f>
        <v>-4.3464792511329266E-2</v>
      </c>
      <c r="BL21" s="25">
        <v>105840.22592</v>
      </c>
      <c r="BM21" s="2">
        <f t="shared" si="26"/>
        <v>0.11803962661062985</v>
      </c>
      <c r="BN21" s="3">
        <f>+(BL21-BI21)/BI21</f>
        <v>-1.6098817632690086E-3</v>
      </c>
      <c r="BO21" s="25">
        <v>131464.15876000002</v>
      </c>
      <c r="BP21" s="2">
        <f>+BO21/$BO$18</f>
        <v>0.14159399541846932</v>
      </c>
      <c r="BQ21" s="3">
        <f>+(BO21-BL21)/BL21</f>
        <v>0.24210013364264768</v>
      </c>
      <c r="BR21" s="25">
        <v>128820.82799999999</v>
      </c>
      <c r="BS21" s="2">
        <f>+BR21/$BR$18</f>
        <v>0.14117510983161755</v>
      </c>
      <c r="BT21" s="3">
        <f t="shared" si="0"/>
        <v>-2.0106854863960837E-2</v>
      </c>
      <c r="BU21" s="25">
        <v>132561.98996000001</v>
      </c>
      <c r="BV21" s="2">
        <f>+BU21/$BU$18</f>
        <v>0.14853869267896164</v>
      </c>
      <c r="BW21" s="3">
        <f t="shared" si="13"/>
        <v>2.9041592249352818E-2</v>
      </c>
      <c r="BX21" s="25">
        <v>119366.3278</v>
      </c>
      <c r="BY21" s="2">
        <f>+BX21/$BX$18</f>
        <v>0.1448785522847181</v>
      </c>
      <c r="BZ21" s="3">
        <f t="shared" si="14"/>
        <v>-9.9543331870483684E-2</v>
      </c>
      <c r="CA21" s="25">
        <v>112323.18392000001</v>
      </c>
      <c r="CB21" s="2">
        <f>+CA21/$CA$18</f>
        <v>0.15571697307924817</v>
      </c>
      <c r="CC21" s="3">
        <f>+(CA21-BX21)/BX21</f>
        <v>-5.9004444635348735E-2</v>
      </c>
      <c r="CD21" s="25">
        <v>110248.33424000001</v>
      </c>
      <c r="CE21" s="2">
        <f>+CD21/$CD$18</f>
        <v>0.16343244734849724</v>
      </c>
      <c r="CF21" s="3">
        <f>+(CD21-CA21)/CA21</f>
        <v>-1.8472140902609832E-2</v>
      </c>
      <c r="CG21" s="25">
        <v>122229.19686</v>
      </c>
      <c r="CH21" s="2">
        <f>+CG21/$CG$18</f>
        <v>0.17815973994992343</v>
      </c>
      <c r="CI21" s="3">
        <f>+(CG21-CD21)/CD21</f>
        <v>0.10867159764898399</v>
      </c>
      <c r="CJ21" s="25">
        <v>133554.35741657999</v>
      </c>
      <c r="CK21" s="2">
        <f>+CJ21/$CJ$18</f>
        <v>0.17905084109237304</v>
      </c>
      <c r="CL21" s="3">
        <f>+(CJ21-CG21)/CG21</f>
        <v>9.2655117169359424E-2</v>
      </c>
    </row>
    <row r="22" spans="1:91" x14ac:dyDescent="0.35">
      <c r="B22" s="1"/>
      <c r="C22" s="23"/>
      <c r="D22" s="26"/>
      <c r="E22" s="16"/>
      <c r="F22" s="26"/>
      <c r="G22" s="16"/>
      <c r="H22" s="26"/>
      <c r="I22" s="16"/>
      <c r="J22" s="16"/>
      <c r="K22" s="26"/>
      <c r="L22" s="16"/>
      <c r="M22" s="16"/>
      <c r="N22" s="26"/>
      <c r="O22" s="16"/>
      <c r="P22" s="16"/>
      <c r="Q22" s="26"/>
      <c r="R22" s="16"/>
      <c r="S22" s="16"/>
      <c r="T22" s="26"/>
      <c r="U22" s="16"/>
      <c r="V22" s="26"/>
      <c r="W22" s="16"/>
      <c r="X22" s="26"/>
      <c r="Y22" s="16"/>
      <c r="Z22" s="26"/>
      <c r="AA22" s="16"/>
      <c r="AB22" s="26"/>
      <c r="AC22" s="16"/>
      <c r="AD22" s="26"/>
      <c r="AE22" s="16"/>
      <c r="AF22" s="26"/>
      <c r="AG22" s="16"/>
      <c r="AH22" s="26"/>
      <c r="AI22" s="15"/>
      <c r="AJ22" s="26"/>
      <c r="AK22" s="15"/>
      <c r="AL22" s="26"/>
      <c r="AM22" s="15"/>
      <c r="AN22" s="26"/>
      <c r="AO22" s="15"/>
      <c r="AP22" s="26"/>
      <c r="AQ22" s="2"/>
      <c r="AR22" s="26"/>
      <c r="AS22" s="2"/>
      <c r="AT22" s="26"/>
      <c r="AU22" s="2"/>
      <c r="AV22" s="26"/>
      <c r="AW22" s="2"/>
      <c r="AX22" s="26"/>
      <c r="AY22" s="2"/>
      <c r="AZ22" s="26"/>
      <c r="BA22" s="2"/>
      <c r="BB22" s="3"/>
      <c r="BC22" s="26"/>
      <c r="BD22" s="2"/>
      <c r="BE22" s="3"/>
      <c r="BF22" s="26"/>
      <c r="BG22" s="2"/>
      <c r="BH22" s="3"/>
      <c r="BI22" s="26"/>
      <c r="BJ22" s="2"/>
      <c r="BK22" s="3"/>
      <c r="BL22" s="26"/>
      <c r="BM22" s="2"/>
      <c r="BN22" s="3"/>
      <c r="BO22" s="3"/>
      <c r="BP22" s="2"/>
      <c r="BQ22" s="3"/>
      <c r="BR22" s="26"/>
      <c r="BS22" s="2"/>
      <c r="BT22" s="3"/>
      <c r="BU22" s="26"/>
      <c r="BV22" s="2"/>
      <c r="BW22" s="3"/>
      <c r="BX22" s="26"/>
      <c r="BY22" s="2"/>
      <c r="BZ22" s="3"/>
      <c r="CA22" s="26"/>
      <c r="CB22" s="2"/>
      <c r="CC22" s="3"/>
      <c r="CD22" s="26"/>
      <c r="CE22" s="2"/>
      <c r="CF22" s="3"/>
      <c r="CG22" s="26"/>
      <c r="CH22" s="2"/>
      <c r="CI22" s="3"/>
      <c r="CJ22" s="26"/>
      <c r="CK22" s="2"/>
      <c r="CL22" s="3"/>
    </row>
    <row r="23" spans="1:91" x14ac:dyDescent="0.35">
      <c r="B23" s="1"/>
      <c r="C23" s="20" t="s">
        <v>4</v>
      </c>
      <c r="D23" s="27">
        <f>+D24+D25+D26</f>
        <v>3693437.2765776338</v>
      </c>
      <c r="E23" s="17">
        <v>0.63170440720977861</v>
      </c>
      <c r="F23" s="27">
        <f>+F24+F25+F26</f>
        <v>3417841.1528884741</v>
      </c>
      <c r="G23" s="17">
        <v>0.60761360597918512</v>
      </c>
      <c r="H23" s="27">
        <f>+H24+H25+H26</f>
        <v>3573003.0917197419</v>
      </c>
      <c r="I23" s="17">
        <v>0.60149243442536127</v>
      </c>
      <c r="J23" s="17">
        <f t="shared" si="11"/>
        <v>4.5397644855477835E-2</v>
      </c>
      <c r="K23" s="27">
        <f>+K24+K25+K26</f>
        <v>3747186.3017382496</v>
      </c>
      <c r="L23" s="17">
        <v>0.60660136505915008</v>
      </c>
      <c r="M23" s="17">
        <f t="shared" si="3"/>
        <v>4.874980668843211E-2</v>
      </c>
      <c r="N23" s="27">
        <f>+N24+N25+N26</f>
        <v>3892001.5719999997</v>
      </c>
      <c r="O23" s="17">
        <v>0.60890647836045741</v>
      </c>
      <c r="P23" s="17">
        <f>(+N23-H23)/H23</f>
        <v>8.9280213896125921E-2</v>
      </c>
      <c r="Q23" s="27">
        <f>+Q24+Q25+Q26</f>
        <v>4058237.5949999997</v>
      </c>
      <c r="R23" s="17">
        <v>0.62396161188865018</v>
      </c>
      <c r="S23" s="17">
        <f>(+Q23-K23)/K23</f>
        <v>8.3009295032237723E-2</v>
      </c>
      <c r="T23" s="27">
        <f>+T24+T25+T26</f>
        <v>4262944.0539999995</v>
      </c>
      <c r="U23" s="17">
        <f>+T23/$AV$12</f>
        <v>0.39106822915511286</v>
      </c>
      <c r="V23" s="27">
        <f>+V24+V25+V26</f>
        <v>4284310.4832277512</v>
      </c>
      <c r="W23" s="17">
        <f>+V23/$AV$12</f>
        <v>0.39302831390772053</v>
      </c>
      <c r="X23" s="27">
        <f>+X24+X25+X26</f>
        <v>4438921.4370954353</v>
      </c>
      <c r="Y23" s="17">
        <f>+X23/$X$12</f>
        <v>0.66275273521726852</v>
      </c>
      <c r="Z23" s="27">
        <f>+Z24+Z25+Z26</f>
        <v>4496807.4522421425</v>
      </c>
      <c r="AA23" s="17">
        <f>+Z23/$Z$12</f>
        <v>0.65745423819091164</v>
      </c>
      <c r="AB23" s="27">
        <f>+AB24+AB25+AB26</f>
        <v>4746091.7074914668</v>
      </c>
      <c r="AC23" s="17">
        <f>+AB23/$AV$12</f>
        <v>0.43539057889227795</v>
      </c>
      <c r="AD23" s="27">
        <f>+AD24+AD25+AD26</f>
        <v>5054849.8214030098</v>
      </c>
      <c r="AE23" s="17">
        <f>+AD23/$AD$12</f>
        <v>0.67325519771397702</v>
      </c>
      <c r="AF23" s="27">
        <f>+AF24+AF25+AF26</f>
        <v>5494129.8399999999</v>
      </c>
      <c r="AG23" s="17">
        <f>+AF23/$AF$12</f>
        <v>0.68969332009014361</v>
      </c>
      <c r="AH23" s="28">
        <f>+AH24+AH25+AH26</f>
        <v>5716871.9489417393</v>
      </c>
      <c r="AI23" s="18">
        <f>+AH23/$AH$12</f>
        <v>0.69959619229842773</v>
      </c>
      <c r="AJ23" s="28">
        <f>+AJ24+AJ25+AJ26</f>
        <v>5728544.1399591435</v>
      </c>
      <c r="AK23" s="18">
        <f>+AJ23/$AJ$12</f>
        <v>0.69934162682757017</v>
      </c>
      <c r="AL23" s="28">
        <f>+AL24+AL25+AL26</f>
        <v>5950583.3612500001</v>
      </c>
      <c r="AM23" s="18">
        <f>+AL23/$AL$12</f>
        <v>0.67272690186332551</v>
      </c>
      <c r="AN23" s="28">
        <f>+AN24+AN25+AN26</f>
        <v>6159364.6612081137</v>
      </c>
      <c r="AO23" s="18">
        <f>+AN23/$AN$12</f>
        <v>0.6487823508992433</v>
      </c>
      <c r="AP23" s="28">
        <f>+AP24+AP25+AP26</f>
        <v>6185978.4392919466</v>
      </c>
      <c r="AQ23" s="19">
        <f>+AP23/$AP$12</f>
        <v>0.64873484738416776</v>
      </c>
      <c r="AR23" s="28">
        <f>+AR24+AR25+AR26</f>
        <v>6290720.3670009188</v>
      </c>
      <c r="AS23" s="19">
        <f>+AR23/$AR$12</f>
        <v>0.64584254400454233</v>
      </c>
      <c r="AT23" s="28">
        <f>+AT24+AT25+AT26</f>
        <v>6348695.8061568905</v>
      </c>
      <c r="AU23" s="19">
        <f>+AT23/$AT$12</f>
        <v>0.59813122964779819</v>
      </c>
      <c r="AV23" s="28">
        <f>+AV24+AV25+AV26</f>
        <v>6490593.845280272</v>
      </c>
      <c r="AW23" s="19">
        <f>+AV23/$AV$12</f>
        <v>0.59542537013994579</v>
      </c>
      <c r="AX23" s="28">
        <f>+AX24+AX25+AX26</f>
        <v>6670650.3746377556</v>
      </c>
      <c r="AY23" s="19">
        <f>+AX23/$AX$12</f>
        <v>0.6061500431278769</v>
      </c>
      <c r="AZ23" s="28">
        <f>+AZ24+AZ25+AZ26</f>
        <v>7076050.1242625415</v>
      </c>
      <c r="BA23" s="19">
        <f>+AZ23/$AZ$12</f>
        <v>0.61548355015425738</v>
      </c>
      <c r="BB23" s="3">
        <f t="shared" si="1"/>
        <v>6.0773646774554706E-2</v>
      </c>
      <c r="BC23" s="28">
        <f>+BC24+BC25+BC26</f>
        <v>6863822.90285361</v>
      </c>
      <c r="BD23" s="19">
        <f>+BC23/$BC$12</f>
        <v>0.61915783599164798</v>
      </c>
      <c r="BE23" s="3">
        <f t="shared" si="4"/>
        <v>-2.9992328726055999E-2</v>
      </c>
      <c r="BF23" s="28">
        <f>+BF24+BF25+BF26</f>
        <v>6468909.7875110917</v>
      </c>
      <c r="BG23" s="19">
        <f>+BF23/$BF$12</f>
        <v>0.60985346219279157</v>
      </c>
      <c r="BH23" s="3">
        <f>+(BF23-BC23)/BC23</f>
        <v>-5.753544648978845E-2</v>
      </c>
      <c r="BI23" s="28">
        <f>+BI24+BI25+BI26</f>
        <v>6455998.6114709424</v>
      </c>
      <c r="BJ23" s="19">
        <f>+BI23/$BI$12</f>
        <v>0.61270469895561464</v>
      </c>
      <c r="BK23" s="3">
        <f>+(BI23-BF23)/BF23</f>
        <v>-1.995881294414659E-3</v>
      </c>
      <c r="BL23" s="28">
        <f>+BL24+BL25+BL26</f>
        <v>7550188.19324324</v>
      </c>
      <c r="BM23" s="19">
        <f>+BL23/$BL$12</f>
        <v>0.6415372943789962</v>
      </c>
      <c r="BN23" s="3">
        <f>+(BL23-BI23)/BI23</f>
        <v>0.1694841724141877</v>
      </c>
      <c r="BO23" s="28">
        <f>+BO24+BO25+BO26</f>
        <v>1316346.9005209194</v>
      </c>
      <c r="BP23" s="19">
        <f>+BO23/$BO$12</f>
        <v>0.23736805824275559</v>
      </c>
      <c r="BQ23" s="3">
        <f>+(BO23-BL23)/BL23</f>
        <v>-0.8256537629487255</v>
      </c>
      <c r="BR23" s="28">
        <f>+BR24+BR25+BR26</f>
        <v>1193266.0311422651</v>
      </c>
      <c r="BS23" s="19">
        <f>+BR23/$BR$12</f>
        <v>0.23155068213973626</v>
      </c>
      <c r="BT23" s="3">
        <f t="shared" si="0"/>
        <v>-9.3501849193360326E-2</v>
      </c>
      <c r="BU23" s="28">
        <f>+BU24+BU25+BU26</f>
        <v>1216142.8855734433</v>
      </c>
      <c r="BV23" s="19">
        <f>+BU23/$BU$12</f>
        <v>0.24164782481091679</v>
      </c>
      <c r="BW23" s="3">
        <f>+(BU23-BR23)/BR23</f>
        <v>1.9171629656866293E-2</v>
      </c>
      <c r="BX23" s="28">
        <f>+BX24+BX25+BX26</f>
        <v>1150855.6134582956</v>
      </c>
      <c r="BY23" s="19">
        <f>+BX23/$BX$12</f>
        <v>0.24920299866881634</v>
      </c>
      <c r="BZ23" s="3">
        <f>+(BX23-BU23)/BU23</f>
        <v>-5.3683882781884643E-2</v>
      </c>
      <c r="CA23" s="28">
        <f>+CA24+CA25+CA26</f>
        <v>1143166.4680826869</v>
      </c>
      <c r="CB23" s="19">
        <f>+CA23/$CA$12</f>
        <v>0.26129629995448389</v>
      </c>
      <c r="CC23" s="3">
        <f>+(CA23-BX23)/BX23</f>
        <v>-6.6812424475238804E-3</v>
      </c>
      <c r="CD23" s="28">
        <f>+CD24+CD25+CD26</f>
        <v>1240528.7194969496</v>
      </c>
      <c r="CE23" s="19">
        <f>+CD23/$CD$12</f>
        <v>0.27658762989263957</v>
      </c>
      <c r="CF23" s="3">
        <f>+(CD23-CA23)/CA23</f>
        <v>8.5168918204501023E-2</v>
      </c>
      <c r="CG23" s="28">
        <f>+CG24+CG25+CG26</f>
        <v>1247903.2833381922</v>
      </c>
      <c r="CH23" s="19">
        <f>+CG23/$CG$12</f>
        <v>0.27285483609754463</v>
      </c>
      <c r="CI23" s="3">
        <f>+(CG23-CD23)/CD23</f>
        <v>5.9446941657530158E-3</v>
      </c>
      <c r="CJ23" s="28">
        <f>+CJ24+CJ25+CJ26</f>
        <v>1277162.5191931804</v>
      </c>
      <c r="CK23" s="19">
        <f>+CJ23/$CJ$12</f>
        <v>0.26912359448371292</v>
      </c>
      <c r="CL23" s="3">
        <f>+(CJ23-CG23)/CG23</f>
        <v>2.34467175827269E-2</v>
      </c>
      <c r="CM23" s="50"/>
    </row>
    <row r="24" spans="1:91" x14ac:dyDescent="0.35">
      <c r="B24" s="1"/>
      <c r="C24" s="23" t="s">
        <v>19</v>
      </c>
      <c r="D24" s="25">
        <v>87719.96547575001</v>
      </c>
      <c r="E24" s="16">
        <v>2.3750224765433672E-2</v>
      </c>
      <c r="F24" s="25">
        <v>91329.142080000005</v>
      </c>
      <c r="G24" s="16">
        <v>2.6721295108409659E-2</v>
      </c>
      <c r="H24" s="25">
        <v>96137.456545749999</v>
      </c>
      <c r="I24" s="16">
        <v>2.6906625624966238E-2</v>
      </c>
      <c r="J24" s="16">
        <f t="shared" si="11"/>
        <v>5.2648194828526236E-2</v>
      </c>
      <c r="K24" s="25">
        <v>100596.05654575001</v>
      </c>
      <c r="L24" s="16">
        <v>2.3597789525611732E-2</v>
      </c>
      <c r="M24" s="16">
        <f t="shared" si="3"/>
        <v>4.6377345107712957E-2</v>
      </c>
      <c r="N24" s="25">
        <v>103617.76000000001</v>
      </c>
      <c r="O24" s="16">
        <v>2.430661971807337E-2</v>
      </c>
      <c r="P24" s="16">
        <f>(+N24-H24)/H24</f>
        <v>7.7808418518855602E-2</v>
      </c>
      <c r="Q24" s="25">
        <v>148139.93700000001</v>
      </c>
      <c r="R24" s="16">
        <v>3.4750617208076554E-2</v>
      </c>
      <c r="S24" s="16">
        <f t="shared" ref="S24:S26" si="27">(+Q24-K24)/K24</f>
        <v>0.4726217118921312</v>
      </c>
      <c r="T24" s="25">
        <v>237260.78</v>
      </c>
      <c r="U24" s="16">
        <f>+T24/$AV$23</f>
        <v>3.6554556586918092E-2</v>
      </c>
      <c r="V24" s="25">
        <v>248958.35800000001</v>
      </c>
      <c r="W24" s="16">
        <f>+V24/$V$23</f>
        <v>5.8109317467682123E-2</v>
      </c>
      <c r="X24" s="25">
        <v>240214.7976896</v>
      </c>
      <c r="Y24" s="16">
        <f>+X24/$X$23</f>
        <v>5.4115577645091686E-2</v>
      </c>
      <c r="Z24" s="25">
        <v>205463.86</v>
      </c>
      <c r="AA24" s="16">
        <f>+Z24/$Z$23</f>
        <v>4.5691051302975877E-2</v>
      </c>
      <c r="AB24" s="25">
        <v>246604.06974000001</v>
      </c>
      <c r="AC24" s="16">
        <f>+AB24/$AV$23</f>
        <v>3.799406889699649E-2</v>
      </c>
      <c r="AD24" s="25">
        <v>162093.22205808852</v>
      </c>
      <c r="AE24" s="16">
        <f>+AD24/$AD$23</f>
        <v>3.2066871971499718E-2</v>
      </c>
      <c r="AF24" s="25">
        <v>197382.74</v>
      </c>
      <c r="AG24" s="16">
        <f>+AF24/$AF$23</f>
        <v>3.5926114916861887E-2</v>
      </c>
      <c r="AH24" s="25">
        <v>156910.52050318031</v>
      </c>
      <c r="AI24" s="15">
        <f>+AH24/$AH$23</f>
        <v>2.7446918857825089E-2</v>
      </c>
      <c r="AJ24" s="25">
        <v>157994.36278250322</v>
      </c>
      <c r="AK24" s="15">
        <f>+AJ24/$AJ$23</f>
        <v>2.7580194709581143E-2</v>
      </c>
      <c r="AL24" s="25">
        <v>249705.05930000002</v>
      </c>
      <c r="AM24" s="15">
        <f>+AL24/$AL$23</f>
        <v>4.1963122628626802E-2</v>
      </c>
      <c r="AN24" s="25">
        <v>330690.20242049475</v>
      </c>
      <c r="AO24" s="15">
        <f>+AN24/$AN$23</f>
        <v>5.368901187214857E-2</v>
      </c>
      <c r="AP24" s="25">
        <v>292434.82126372645</v>
      </c>
      <c r="AQ24" s="2">
        <f>+AP24/$AP$23</f>
        <v>4.7273818383563398E-2</v>
      </c>
      <c r="AR24" s="25">
        <v>405914.54590103921</v>
      </c>
      <c r="AS24" s="2">
        <f>+AR24/$AR$23</f>
        <v>6.4525924253498124E-2</v>
      </c>
      <c r="AT24" s="25">
        <v>460157.55664509186</v>
      </c>
      <c r="AU24" s="2">
        <f>+AT24/$AT$23</f>
        <v>7.2480643378571782E-2</v>
      </c>
      <c r="AV24" s="25">
        <v>572457.49025067198</v>
      </c>
      <c r="AW24" s="2">
        <f>+AV24/$AV$23</f>
        <v>8.8198014526350718E-2</v>
      </c>
      <c r="AX24" s="25">
        <v>486225.2082431562</v>
      </c>
      <c r="AY24" s="2">
        <f>+AX24/$AX$23</f>
        <v>7.2890225230783479E-2</v>
      </c>
      <c r="AZ24" s="25">
        <v>532026.81602992106</v>
      </c>
      <c r="BA24" s="2">
        <f>+AZ24/$AZ$23</f>
        <v>7.5186976729530772E-2</v>
      </c>
      <c r="BB24" s="3">
        <f t="shared" si="1"/>
        <v>9.4198340625441093E-2</v>
      </c>
      <c r="BC24" s="25">
        <v>464457.7046774198</v>
      </c>
      <c r="BD24" s="2">
        <f>+BC24/$BC$23</f>
        <v>6.766749539594373E-2</v>
      </c>
      <c r="BE24" s="3">
        <f t="shared" si="4"/>
        <v>-0.12700320607279539</v>
      </c>
      <c r="BF24" s="25">
        <v>312531.63969063002</v>
      </c>
      <c r="BG24" s="2">
        <f>+BF24/$BF$23</f>
        <v>4.8312876505714315E-2</v>
      </c>
      <c r="BH24" s="3">
        <f>+(BF24-BC24)/BC24</f>
        <v>-0.32710419798570706</v>
      </c>
      <c r="BI24" s="25">
        <v>311758.59411395341</v>
      </c>
      <c r="BJ24" s="2">
        <f>+BI24/$BI$23</f>
        <v>4.8289755446976772E-2</v>
      </c>
      <c r="BK24" s="3">
        <f>+(BI24-BF24)/BF24</f>
        <v>-2.4734954113504641E-3</v>
      </c>
      <c r="BL24" s="25">
        <v>391023.38031359005</v>
      </c>
      <c r="BM24" s="2">
        <f>+BL24/$BL$23</f>
        <v>5.1789885272465377E-2</v>
      </c>
      <c r="BN24" s="3">
        <f>+(BL24-BI24)/BI24</f>
        <v>0.25425052491308042</v>
      </c>
      <c r="BO24" s="25">
        <v>373369.35898977943</v>
      </c>
      <c r="BP24" s="2">
        <f>+BO24/$BO$23</f>
        <v>0.2836405501027317</v>
      </c>
      <c r="BQ24" s="3">
        <f>+(BO24-BL24)/BL24</f>
        <v>-4.5148249983549785E-2</v>
      </c>
      <c r="BR24" s="25">
        <v>254023.210599265</v>
      </c>
      <c r="BS24" s="2">
        <f>+BR24/$BR$23</f>
        <v>0.2128806183781993</v>
      </c>
      <c r="BT24" s="3">
        <f t="shared" si="0"/>
        <v>-0.31964633818218968</v>
      </c>
      <c r="BU24" s="25">
        <v>301664.21653179405</v>
      </c>
      <c r="BV24" s="2">
        <f>+BU24/$BU$23</f>
        <v>0.24804997842794718</v>
      </c>
      <c r="BW24" s="3">
        <f t="shared" ref="BW24" si="28">+(BU24-BR24)/BR24</f>
        <v>0.18754587748158669</v>
      </c>
      <c r="BX24" s="25">
        <v>243542.69831223303</v>
      </c>
      <c r="BY24" s="2">
        <f>+BX24/$BX$23</f>
        <v>0.21161881252887374</v>
      </c>
      <c r="BZ24" s="3">
        <f t="shared" ref="BZ24" si="29">+(BX24-BU24)/BU24</f>
        <v>-0.19266958105863138</v>
      </c>
      <c r="CA24" s="25">
        <v>220282.91742397699</v>
      </c>
      <c r="CB24" s="2">
        <f>+CA24/$CA$23</f>
        <v>0.19269539789199241</v>
      </c>
      <c r="CC24" s="3">
        <f t="shared" ref="CC24" si="30">+(CA24-BX24)/BX24</f>
        <v>-9.5505966918523325E-2</v>
      </c>
      <c r="CD24" s="25">
        <v>286444.57792182977</v>
      </c>
      <c r="CE24" s="2">
        <f>+CD24/$CD$23</f>
        <v>0.2309052369525042</v>
      </c>
      <c r="CF24" s="3">
        <f>+(CD24-CA24)/CA24</f>
        <v>0.30034857569328399</v>
      </c>
      <c r="CG24" s="25">
        <v>284709.75567148469</v>
      </c>
      <c r="CH24" s="2">
        <f>+CG24/$CG$23</f>
        <v>0.22815049809779689</v>
      </c>
      <c r="CI24" s="3">
        <f>+(CG24-CD24)/CD24</f>
        <v>-6.0563975863369684E-3</v>
      </c>
      <c r="CJ24" s="25">
        <v>295907.58137996995</v>
      </c>
      <c r="CK24" s="2">
        <f>+CJ24/$CJ$23</f>
        <v>0.23169140726655768</v>
      </c>
      <c r="CL24" s="3">
        <f>+(CJ24-CG24)/CG24</f>
        <v>3.9330670921603382E-2</v>
      </c>
      <c r="CM24" s="96"/>
    </row>
    <row r="25" spans="1:91" x14ac:dyDescent="0.35">
      <c r="B25" s="1"/>
      <c r="C25" s="23" t="s">
        <v>20</v>
      </c>
      <c r="D25" s="25">
        <v>2633152.4606638835</v>
      </c>
      <c r="E25" s="16">
        <v>0.71292735289220399</v>
      </c>
      <c r="F25" s="25">
        <v>2333320.8703294736</v>
      </c>
      <c r="G25" s="16">
        <v>0.68268850597621999</v>
      </c>
      <c r="H25" s="25">
        <v>2438591.2527909917</v>
      </c>
      <c r="I25" s="16">
        <v>0.68250465790032655</v>
      </c>
      <c r="J25" s="16">
        <f t="shared" si="11"/>
        <v>4.5116119175950917E-2</v>
      </c>
      <c r="K25" s="25">
        <v>2573437.9</v>
      </c>
      <c r="L25" s="16">
        <v>0.60367620766340935</v>
      </c>
      <c r="M25" s="16">
        <f t="shared" si="3"/>
        <v>5.529694533869705E-2</v>
      </c>
      <c r="N25" s="25">
        <v>2642838.9839999997</v>
      </c>
      <c r="O25" s="16">
        <v>0.61995629089248183</v>
      </c>
      <c r="P25" s="16">
        <f>(+N25-H25)/H25</f>
        <v>8.375644379731309E-2</v>
      </c>
      <c r="Q25" s="25">
        <v>2732304.5459999996</v>
      </c>
      <c r="R25" s="16">
        <v>0.64094309270519922</v>
      </c>
      <c r="S25" s="16">
        <f t="shared" si="27"/>
        <v>6.1733234751846826E-2</v>
      </c>
      <c r="T25" s="25">
        <v>2851545.5290000001</v>
      </c>
      <c r="U25" s="16">
        <f>+T25/$AV$23</f>
        <v>0.43933507425881257</v>
      </c>
      <c r="V25" s="25">
        <v>2859011.3757277508</v>
      </c>
      <c r="W25" s="16">
        <f t="shared" ref="W25:W26" si="31">+V25/$V$23</f>
        <v>0.66732123801956666</v>
      </c>
      <c r="X25" s="25">
        <v>2971186.8257306358</v>
      </c>
      <c r="Y25" s="16">
        <f t="shared" ref="Y25:Y26" si="32">+X25/$X$23</f>
        <v>0.6693488199409996</v>
      </c>
      <c r="Z25" s="25">
        <v>2967208.2984371427</v>
      </c>
      <c r="AA25" s="16">
        <f t="shared" ref="AA25:AA26" si="33">+Z25/$Z$23</f>
        <v>0.6598477542011878</v>
      </c>
      <c r="AB25" s="25">
        <v>3232878.5344614661</v>
      </c>
      <c r="AC25" s="16">
        <f>+AB25/$AV$23</f>
        <v>0.49808671001842147</v>
      </c>
      <c r="AD25" s="25">
        <v>3619297.6578379557</v>
      </c>
      <c r="AE25" s="16">
        <f t="shared" ref="AE25:AE26" si="34">+AD25/$AD$23</f>
        <v>0.71600498248499767</v>
      </c>
      <c r="AF25" s="25">
        <v>4023982.94</v>
      </c>
      <c r="AG25" s="16">
        <f>+AF25/$AF$23</f>
        <v>0.73241496964694963</v>
      </c>
      <c r="AH25" s="25">
        <v>4334162.0445585595</v>
      </c>
      <c r="AI25" s="15">
        <f t="shared" ref="AI25:AI26" si="35">+AH25/$AH$23</f>
        <v>0.75813523256557536</v>
      </c>
      <c r="AJ25" s="25">
        <v>4342071.9624566399</v>
      </c>
      <c r="AK25" s="15">
        <f t="shared" ref="AK25:AK26" si="36">+AJ25/$AJ$23</f>
        <v>0.75797128491491517</v>
      </c>
      <c r="AL25" s="25">
        <v>4488536.3971100003</v>
      </c>
      <c r="AM25" s="15">
        <f>+AL25/$AL$23</f>
        <v>0.75430191035373095</v>
      </c>
      <c r="AN25" s="25">
        <v>4617524.2862276193</v>
      </c>
      <c r="AO25" s="15">
        <f>+AN25/$AN$23</f>
        <v>0.74967541949723204</v>
      </c>
      <c r="AP25" s="25">
        <v>4631635.8133682199</v>
      </c>
      <c r="AQ25" s="2">
        <f t="shared" ref="AQ25:AQ26" si="37">+AP25/$AP$23</f>
        <v>0.7487313217823568</v>
      </c>
      <c r="AR25" s="25">
        <v>4627679.0518366396</v>
      </c>
      <c r="AS25" s="2">
        <f t="shared" ref="AS25:AS26" si="38">+AR25/$AR$23</f>
        <v>0.73563579079304575</v>
      </c>
      <c r="AT25" s="25">
        <v>4637902.9915983099</v>
      </c>
      <c r="AU25" s="2">
        <f t="shared" ref="AU25:AU26" si="39">+AT25/$AT$23</f>
        <v>0.73052846335786414</v>
      </c>
      <c r="AV25" s="25">
        <v>4649704.1020403998</v>
      </c>
      <c r="AW25" s="2">
        <f>+AV25/$AV$23</f>
        <v>0.71637576050479546</v>
      </c>
      <c r="AX25" s="25">
        <v>4948984.7097439999</v>
      </c>
      <c r="AY25" s="2">
        <f>+AX25/$AX$23</f>
        <v>0.74190437690459088</v>
      </c>
      <c r="AZ25" s="25">
        <v>5345632.6628</v>
      </c>
      <c r="BA25" s="2">
        <f>+AZ25/$AZ$23</f>
        <v>0.75545432394136924</v>
      </c>
      <c r="BB25" s="3">
        <f t="shared" si="1"/>
        <v>8.0147338559168418E-2</v>
      </c>
      <c r="BC25" s="25">
        <v>5285413.2201030003</v>
      </c>
      <c r="BD25" s="2">
        <f t="shared" ref="BD25:BD26" si="40">+BC25/$BC$23</f>
        <v>0.77003927620358747</v>
      </c>
      <c r="BE25" s="3">
        <f t="shared" si="4"/>
        <v>-1.1265166631456732E-2</v>
      </c>
      <c r="BF25" s="25">
        <v>5118603.9150606813</v>
      </c>
      <c r="BG25" s="2">
        <f>+BF25/$BF$23</f>
        <v>0.79126221932213103</v>
      </c>
      <c r="BH25" s="3">
        <f>+(BF25-BC25)/BC25</f>
        <v>-3.1560314793905232E-2</v>
      </c>
      <c r="BI25" s="25">
        <v>5131058.5793353887</v>
      </c>
      <c r="BJ25" s="2">
        <f>+BI25/$BI$23</f>
        <v>0.79477380466262559</v>
      </c>
      <c r="BK25" s="3">
        <f>+(BI25-BF25)/BF25</f>
        <v>2.4332150878214193E-3</v>
      </c>
      <c r="BL25" s="25">
        <v>6145459.041069</v>
      </c>
      <c r="BM25" s="2">
        <f>+BL25/$BL$23</f>
        <v>0.81394779623753621</v>
      </c>
      <c r="BN25" s="3">
        <f>+(BL25-BI25)/BI25</f>
        <v>0.19769808628164282</v>
      </c>
      <c r="BO25" s="25">
        <v>0</v>
      </c>
      <c r="BP25" s="2">
        <f>+BO25/$BO$23</f>
        <v>0</v>
      </c>
      <c r="BQ25" s="3">
        <f>+(BO25-BL25)/BL25</f>
        <v>-1</v>
      </c>
      <c r="BR25" s="25">
        <v>0</v>
      </c>
      <c r="BS25" s="2">
        <f>+BR25/$BL$23</f>
        <v>0</v>
      </c>
      <c r="BT25" s="3"/>
      <c r="BU25" s="25">
        <v>0</v>
      </c>
      <c r="BV25" s="2">
        <f>+BU25/$BU$23</f>
        <v>0</v>
      </c>
      <c r="BW25" s="3"/>
      <c r="BX25" s="25">
        <v>0</v>
      </c>
      <c r="BY25" s="2">
        <f>+BX25/$BX$23</f>
        <v>0</v>
      </c>
      <c r="BZ25" s="3"/>
      <c r="CA25" s="25">
        <v>0</v>
      </c>
      <c r="CB25" s="93" t="s">
        <v>75</v>
      </c>
      <c r="CC25" s="3"/>
      <c r="CD25" s="25">
        <v>0</v>
      </c>
      <c r="CE25" s="93" t="s">
        <v>75</v>
      </c>
      <c r="CF25" s="94" t="s">
        <v>75</v>
      </c>
      <c r="CG25" s="25">
        <v>0</v>
      </c>
      <c r="CH25" s="93" t="s">
        <v>75</v>
      </c>
      <c r="CI25" s="94" t="s">
        <v>75</v>
      </c>
      <c r="CJ25" s="25">
        <v>0</v>
      </c>
      <c r="CK25" s="93" t="s">
        <v>75</v>
      </c>
      <c r="CL25" s="94" t="s">
        <v>75</v>
      </c>
    </row>
    <row r="26" spans="1:91" ht="16.2" x14ac:dyDescent="0.35">
      <c r="B26" s="1"/>
      <c r="C26" s="23" t="s">
        <v>67</v>
      </c>
      <c r="D26" s="25">
        <v>972564.85043799994</v>
      </c>
      <c r="E26" s="16">
        <v>0.26332242234236225</v>
      </c>
      <c r="F26" s="25">
        <v>993191.14047900005</v>
      </c>
      <c r="G26" s="16">
        <v>0.29059019891537025</v>
      </c>
      <c r="H26" s="25">
        <v>1038274.3823830001</v>
      </c>
      <c r="I26" s="16">
        <v>0.29058871647470713</v>
      </c>
      <c r="J26" s="16">
        <f t="shared" si="11"/>
        <v>4.5392311778231463E-2</v>
      </c>
      <c r="K26" s="25">
        <v>1073152.3451924999</v>
      </c>
      <c r="L26" s="16">
        <v>0.25173972062465638</v>
      </c>
      <c r="M26" s="16">
        <f t="shared" si="3"/>
        <v>3.3592240549602609E-2</v>
      </c>
      <c r="N26" s="25">
        <v>1145544.828</v>
      </c>
      <c r="O26" s="16">
        <v>0.26872152519222342</v>
      </c>
      <c r="P26" s="16">
        <f>(+N26-H26)/H26</f>
        <v>0.10331608622645358</v>
      </c>
      <c r="Q26" s="25">
        <v>1177793.112</v>
      </c>
      <c r="R26" s="16">
        <v>0.27628631693978128</v>
      </c>
      <c r="S26" s="16">
        <f t="shared" si="27"/>
        <v>9.750783966159976E-2</v>
      </c>
      <c r="T26" s="25">
        <v>1174137.7449999999</v>
      </c>
      <c r="U26" s="16">
        <f>+T26/$AV$23</f>
        <v>0.18089835429369702</v>
      </c>
      <c r="V26" s="25">
        <v>1176340.7495000002</v>
      </c>
      <c r="W26" s="16">
        <f t="shared" si="31"/>
        <v>0.27456944451275117</v>
      </c>
      <c r="X26" s="25">
        <v>1227519.8136752001</v>
      </c>
      <c r="Y26" s="16">
        <f t="shared" si="32"/>
        <v>0.27653560241390884</v>
      </c>
      <c r="Z26" s="25">
        <v>1324135.2938049999</v>
      </c>
      <c r="AA26" s="16">
        <f t="shared" si="33"/>
        <v>0.29446119449583635</v>
      </c>
      <c r="AB26" s="25">
        <v>1266609.10329</v>
      </c>
      <c r="AC26" s="16">
        <f>+AB26/$AV$23</f>
        <v>0.19514533392210837</v>
      </c>
      <c r="AD26" s="25">
        <v>1273458.9415069656</v>
      </c>
      <c r="AE26" s="16">
        <f t="shared" si="34"/>
        <v>0.25192814554350257</v>
      </c>
      <c r="AF26" s="25">
        <v>1272764.1600000001</v>
      </c>
      <c r="AG26" s="16">
        <f>+AF26/$AF$23</f>
        <v>0.23165891543618855</v>
      </c>
      <c r="AH26" s="25">
        <v>1225799.3838799999</v>
      </c>
      <c r="AI26" s="15">
        <f t="shared" si="35"/>
        <v>0.21441784857659962</v>
      </c>
      <c r="AJ26" s="25">
        <v>1228477.8147199999</v>
      </c>
      <c r="AK26" s="15">
        <f t="shared" si="36"/>
        <v>0.21444852037550355</v>
      </c>
      <c r="AL26" s="25">
        <v>1212341.90484</v>
      </c>
      <c r="AM26" s="15">
        <f>+AL26/$AL$23</f>
        <v>0.20373496701764232</v>
      </c>
      <c r="AN26" s="25">
        <v>1211150.1725599999</v>
      </c>
      <c r="AO26" s="15">
        <f>+AN26/$AN$23</f>
        <v>0.1966355686306194</v>
      </c>
      <c r="AP26" s="25">
        <v>1261907.8046599999</v>
      </c>
      <c r="AQ26" s="2">
        <f t="shared" si="37"/>
        <v>0.20399485983407972</v>
      </c>
      <c r="AR26" s="25">
        <v>1257126.76926324</v>
      </c>
      <c r="AS26" s="2">
        <f t="shared" si="38"/>
        <v>0.19983828495345618</v>
      </c>
      <c r="AT26" s="25">
        <v>1250635.2579134884</v>
      </c>
      <c r="AU26" s="2">
        <f t="shared" si="39"/>
        <v>0.196990893263564</v>
      </c>
      <c r="AV26" s="25">
        <v>1268432.2529891999</v>
      </c>
      <c r="AW26" s="2">
        <f>+AV26/$AV$23</f>
        <v>0.19542622496885376</v>
      </c>
      <c r="AX26" s="25">
        <v>1235440.4566506001</v>
      </c>
      <c r="AY26" s="2">
        <f>+AX26/$AX$23</f>
        <v>0.1852053978646257</v>
      </c>
      <c r="AZ26" s="25">
        <v>1198390.6454326201</v>
      </c>
      <c r="BA26" s="2">
        <f>+AZ26/$AZ$23</f>
        <v>0.16935869932909994</v>
      </c>
      <c r="BB26" s="3">
        <f t="shared" si="1"/>
        <v>-2.9989151657236202E-2</v>
      </c>
      <c r="BC26" s="25">
        <v>1113951.97807319</v>
      </c>
      <c r="BD26" s="2">
        <f t="shared" si="40"/>
        <v>0.16229322840046884</v>
      </c>
      <c r="BE26" s="3">
        <f t="shared" si="4"/>
        <v>-7.0460052138464152E-2</v>
      </c>
      <c r="BF26" s="25">
        <v>1037774.23275978</v>
      </c>
      <c r="BG26" s="2">
        <f>+BF26/$BF$23</f>
        <v>0.16042490417215463</v>
      </c>
      <c r="BH26" s="3">
        <f>+(BF26-BC26)/BC26</f>
        <v>-6.8385125043877643E-2</v>
      </c>
      <c r="BI26" s="25">
        <v>1013181.4380216</v>
      </c>
      <c r="BJ26" s="2">
        <f>+BI26/$BI$23</f>
        <v>0.15693643989039763</v>
      </c>
      <c r="BK26" s="3">
        <f>+(BI26-BF26)/BF26</f>
        <v>-2.3697634766648372E-2</v>
      </c>
      <c r="BL26" s="25">
        <v>1013705.77186065</v>
      </c>
      <c r="BM26" s="2">
        <f>+BL26/$BL$23</f>
        <v>0.13426231848999848</v>
      </c>
      <c r="BN26" s="3">
        <f>+(BL26-BI26)/BI26</f>
        <v>5.1751228296668635E-4</v>
      </c>
      <c r="BO26" s="25">
        <v>942977.54153113998</v>
      </c>
      <c r="BP26" s="2">
        <f>+BO26/$BO$23</f>
        <v>0.7163594498972683</v>
      </c>
      <c r="BQ26" s="3">
        <f>+(BO26-BL26)/BL26</f>
        <v>-6.9771951874841226E-2</v>
      </c>
      <c r="BR26" s="25">
        <v>939242.82054300001</v>
      </c>
      <c r="BS26" s="2">
        <f>+BR26/$BR$23</f>
        <v>0.78711938162180062</v>
      </c>
      <c r="BT26" s="3">
        <f t="shared" si="0"/>
        <v>-3.9605619685022415E-3</v>
      </c>
      <c r="BU26" s="25">
        <v>914478.66904164921</v>
      </c>
      <c r="BV26" s="2">
        <f>+BU26/$BU$23</f>
        <v>0.75195002157205282</v>
      </c>
      <c r="BW26" s="3">
        <f t="shared" ref="BW26" si="41">+(BU26-BR26)/BR26</f>
        <v>-2.6366080165546563E-2</v>
      </c>
      <c r="BX26" s="25">
        <v>907312.91514606262</v>
      </c>
      <c r="BY26" s="2">
        <f>+BX26/$BX$23</f>
        <v>0.78838118747112629</v>
      </c>
      <c r="BZ26" s="3">
        <f t="shared" ref="BZ26" si="42">+(BX26-BU26)/BU26</f>
        <v>-7.8358896037412449E-3</v>
      </c>
      <c r="CA26" s="25">
        <v>922883.55065870995</v>
      </c>
      <c r="CB26" s="2">
        <f>+CA26/$CA$23</f>
        <v>0.80730460210800759</v>
      </c>
      <c r="CC26" s="3">
        <f t="shared" ref="CC26" si="43">+(CA26-BX26)/BX26</f>
        <v>1.716126294767965E-2</v>
      </c>
      <c r="CD26" s="25">
        <v>954084.14157511992</v>
      </c>
      <c r="CE26" s="2">
        <f>+CD26/$CD$23</f>
        <v>0.76909476304749591</v>
      </c>
      <c r="CF26" s="3">
        <f>+(CD26-CA26)/CA26</f>
        <v>3.3807722430571535E-2</v>
      </c>
      <c r="CG26" s="25">
        <v>963193.52766670752</v>
      </c>
      <c r="CH26" s="2">
        <f>+CG26/$CG$23</f>
        <v>0.77184950190220314</v>
      </c>
      <c r="CI26" s="3">
        <f>+(CG26-CD26)/CD26</f>
        <v>9.5477806355199445E-3</v>
      </c>
      <c r="CJ26" s="25">
        <v>981254.93781321042</v>
      </c>
      <c r="CK26" s="2">
        <f>+CJ26/$CJ$23</f>
        <v>0.76830859273344232</v>
      </c>
      <c r="CL26" s="3">
        <f>+(CJ26-CG26)/CG26</f>
        <v>1.875159002600011E-2</v>
      </c>
    </row>
    <row r="27" spans="1:91" x14ac:dyDescent="0.35">
      <c r="B27" s="1"/>
      <c r="C27" s="1"/>
      <c r="D27" s="15"/>
      <c r="E27" s="16"/>
      <c r="F27" s="15"/>
      <c r="G27" s="16"/>
      <c r="H27" s="15"/>
      <c r="I27" s="16"/>
      <c r="J27" s="16"/>
      <c r="K27" s="15"/>
      <c r="L27" s="16"/>
      <c r="M27" s="16"/>
      <c r="N27" s="15"/>
      <c r="O27" s="16"/>
      <c r="P27" s="16"/>
      <c r="Q27" s="15"/>
      <c r="R27" s="16"/>
      <c r="S27" s="16"/>
      <c r="T27" s="15"/>
      <c r="U27" s="16"/>
      <c r="V27" s="15"/>
      <c r="W27" s="16"/>
      <c r="X27" s="15"/>
      <c r="Y27" s="16"/>
      <c r="Z27" s="15"/>
      <c r="AA27" s="16"/>
      <c r="AB27" s="15"/>
      <c r="AC27" s="16"/>
      <c r="AD27" s="15"/>
      <c r="AE27" s="16"/>
      <c r="AF27" s="15"/>
      <c r="AG27" s="16"/>
      <c r="AH27" s="15"/>
      <c r="AI27" s="15"/>
      <c r="AJ27" s="15"/>
      <c r="AK27" s="15"/>
      <c r="AL27" s="15"/>
      <c r="AM27" s="15"/>
      <c r="AN27" s="15"/>
      <c r="AO27" s="15"/>
      <c r="AP27" s="15"/>
      <c r="AQ27" s="2"/>
      <c r="AR27" s="15"/>
      <c r="AS27" s="2"/>
      <c r="AT27" s="15"/>
      <c r="AU27" s="2"/>
      <c r="AV27" s="15"/>
      <c r="AW27" s="2"/>
      <c r="AX27" s="15"/>
      <c r="AY27" s="2"/>
      <c r="AZ27" s="15"/>
      <c r="BA27" s="2"/>
      <c r="BB27" s="3"/>
      <c r="BC27" s="15"/>
      <c r="BD27" s="2"/>
      <c r="BE27" s="3"/>
      <c r="BF27" s="15"/>
      <c r="BG27" s="2"/>
      <c r="BH27" s="3"/>
      <c r="BI27" s="15"/>
      <c r="BJ27" s="2"/>
      <c r="BK27" s="3"/>
      <c r="BL27" s="15"/>
      <c r="BM27" s="2"/>
      <c r="BN27" s="3"/>
      <c r="BO27" s="3"/>
      <c r="BP27" s="2"/>
      <c r="BQ27" s="3"/>
      <c r="BR27" s="15"/>
      <c r="BS27" s="2"/>
      <c r="BT27" s="3"/>
      <c r="BU27" s="15"/>
      <c r="BV27" s="2"/>
      <c r="BW27" s="3"/>
      <c r="BX27" s="15"/>
      <c r="BY27" s="2"/>
      <c r="BZ27" s="3"/>
      <c r="CA27" s="15"/>
      <c r="CB27" s="2"/>
      <c r="CC27" s="3"/>
      <c r="CD27" s="15"/>
      <c r="CE27" s="2"/>
      <c r="CF27" s="3"/>
      <c r="CG27" s="15"/>
      <c r="CH27" s="2"/>
      <c r="CI27" s="3"/>
      <c r="CJ27" s="15"/>
      <c r="CK27" s="2"/>
      <c r="CL27" s="3"/>
    </row>
    <row r="28" spans="1:91" x14ac:dyDescent="0.35">
      <c r="B28" s="29" t="s">
        <v>5</v>
      </c>
      <c r="C28" s="1"/>
      <c r="D28" s="15">
        <v>1283666.4031000002</v>
      </c>
      <c r="E28" s="16">
        <v>0.12083585069707743</v>
      </c>
      <c r="F28" s="15">
        <v>1314062.5825264156</v>
      </c>
      <c r="G28" s="17">
        <v>0.12156320469465752</v>
      </c>
      <c r="H28" s="15">
        <v>1358057.37386165</v>
      </c>
      <c r="I28" s="17">
        <v>0.11911443608623744</v>
      </c>
      <c r="J28" s="17">
        <f t="shared" si="11"/>
        <v>3.3479981791011866E-2</v>
      </c>
      <c r="K28" s="15">
        <v>1444730.749963254</v>
      </c>
      <c r="L28" s="17">
        <v>0.12333958933273162</v>
      </c>
      <c r="M28" s="17">
        <f t="shared" si="3"/>
        <v>6.3821586458565685E-2</v>
      </c>
      <c r="N28" s="15">
        <v>1405516.6348000001</v>
      </c>
      <c r="O28" s="17">
        <v>0.11510598815294214</v>
      </c>
      <c r="P28" s="17">
        <f>(+N28-H28)/H28</f>
        <v>3.4946432935597717E-2</v>
      </c>
      <c r="Q28" s="15">
        <v>1436421.543735774</v>
      </c>
      <c r="R28" s="17">
        <v>0.1131696418597147</v>
      </c>
      <c r="S28" s="17">
        <f>(+Q28-K28)/K28</f>
        <v>-5.7513873970574166E-3</v>
      </c>
      <c r="T28" s="15">
        <v>1413036.6781000001</v>
      </c>
      <c r="U28" s="17">
        <f>+T28/$T$38</f>
        <v>0.10491634121339206</v>
      </c>
      <c r="V28" s="15">
        <v>1425341.757393135</v>
      </c>
      <c r="W28" s="17">
        <f>+V28/$V$38</f>
        <v>0.10320674615944199</v>
      </c>
      <c r="X28" s="15">
        <v>1488482.4275330501</v>
      </c>
      <c r="Y28" s="17">
        <f>+X28/$X$38</f>
        <v>0.10160254549794735</v>
      </c>
      <c r="Z28" s="15">
        <v>1606828.1523826893</v>
      </c>
      <c r="AA28" s="17">
        <f>+Z28/$Z$38</f>
        <v>0.10833659619643582</v>
      </c>
      <c r="AB28" s="15">
        <v>1602472.2262370149</v>
      </c>
      <c r="AC28" s="17">
        <f>+AB28/$AV$38</f>
        <v>7.7070386886712694E-2</v>
      </c>
      <c r="AD28" s="15">
        <v>1566603.425313873</v>
      </c>
      <c r="AE28" s="17">
        <f>+AD28/$AD$38</f>
        <v>9.7330715191838751E-2</v>
      </c>
      <c r="AF28" s="15">
        <v>1564598.7991507961</v>
      </c>
      <c r="AG28" s="17">
        <f>+AF28/$AF$38</f>
        <v>9.472756952992574E-2</v>
      </c>
      <c r="AH28" s="15">
        <v>1518825.5538143211</v>
      </c>
      <c r="AI28" s="18">
        <f>+AH28/$AH$38</f>
        <v>9.1599596909417019E-2</v>
      </c>
      <c r="AJ28" s="15">
        <v>1521298.8367703296</v>
      </c>
      <c r="AK28" s="18">
        <f>+AJ28/$AJ$38</f>
        <v>8.9463775358645789E-2</v>
      </c>
      <c r="AL28" s="15">
        <v>1498546.1796261901</v>
      </c>
      <c r="AM28" s="18">
        <f>+AL28/$AL$38</f>
        <v>8.7746136671413746E-2</v>
      </c>
      <c r="AN28" s="15">
        <v>1519056.2751796916</v>
      </c>
      <c r="AO28" s="18">
        <f>+AN28/$AN$38</f>
        <v>8.3483008963600114E-2</v>
      </c>
      <c r="AP28" s="15">
        <v>1576909.1669788193</v>
      </c>
      <c r="AQ28" s="19">
        <f>+AP28/$AP$38</f>
        <v>8.5141436780360943E-2</v>
      </c>
      <c r="AR28" s="15">
        <v>1564729.7265330635</v>
      </c>
      <c r="AS28" s="30">
        <f>+AR28/$AR$38</f>
        <v>8.0213010401816734E-2</v>
      </c>
      <c r="AT28" s="15">
        <v>1539788.4505890403</v>
      </c>
      <c r="AU28" s="19">
        <f>+AT28/$AT$38</f>
        <v>7.6758775515206323E-2</v>
      </c>
      <c r="AV28" s="15">
        <v>1534496.7983726622</v>
      </c>
      <c r="AW28" s="19">
        <f>+AV28/$AV$38</f>
        <v>7.3801130522377661E-2</v>
      </c>
      <c r="AX28" s="15">
        <v>1517887.955476983</v>
      </c>
      <c r="AY28" s="19">
        <f>+AX28/$AX$38</f>
        <v>7.4068139418280152E-2</v>
      </c>
      <c r="AZ28" s="15">
        <v>1441722.3518389333</v>
      </c>
      <c r="BA28" s="19">
        <f>+AZ28/$AZ$38</f>
        <v>6.851416712534851E-2</v>
      </c>
      <c r="BB28" s="3">
        <f t="shared" si="1"/>
        <v>-5.0178673177570153E-2</v>
      </c>
      <c r="BC28" s="15">
        <v>1425880.6460125099</v>
      </c>
      <c r="BD28" s="19">
        <f>+BC28/$BC$38</f>
        <v>6.7648874596462752E-2</v>
      </c>
      <c r="BE28" s="3">
        <f t="shared" si="4"/>
        <v>-1.0988042049994639E-2</v>
      </c>
      <c r="BF28" s="15">
        <v>1384746.1511272765</v>
      </c>
      <c r="BG28" s="19">
        <f>+BF28/$BF$38</f>
        <v>6.6225271612928266E-2</v>
      </c>
      <c r="BH28" s="3">
        <f>+(BF28-BC28)/BC28</f>
        <v>-2.8848483917827558E-2</v>
      </c>
      <c r="BI28" s="15">
        <v>1401794.8645681455</v>
      </c>
      <c r="BJ28" s="19">
        <f>+BI28/$BI$38</f>
        <v>6.6708373686897679E-2</v>
      </c>
      <c r="BK28" s="3">
        <f>+(BI28-BF28)/BF28</f>
        <v>1.2311796950647023E-2</v>
      </c>
      <c r="BL28" s="15">
        <v>1385438.3683930303</v>
      </c>
      <c r="BM28" s="19">
        <f>+BL28/$BL$38</f>
        <v>6.5002347868329494E-2</v>
      </c>
      <c r="BN28" s="3">
        <f>+(BL28-BI28)/BI28</f>
        <v>-1.1668252316043558E-2</v>
      </c>
      <c r="BO28" s="15">
        <v>1430726.1873252289</v>
      </c>
      <c r="BP28" s="19">
        <f>+BO28/$BO$38</f>
        <v>6.5813435782162866E-2</v>
      </c>
      <c r="BQ28" s="3">
        <f>+(BO28-BL28)/BL28</f>
        <v>3.2688439966281589E-2</v>
      </c>
      <c r="BR28" s="15">
        <v>1393703.6236394751</v>
      </c>
      <c r="BS28" s="19">
        <f>+BR28/$BR$38</f>
        <v>6.5436125212007909E-2</v>
      </c>
      <c r="BT28" s="3">
        <f t="shared" si="0"/>
        <v>-2.5876763851627172E-2</v>
      </c>
      <c r="BU28" s="15">
        <v>1400339.0608192722</v>
      </c>
      <c r="BV28" s="19">
        <f>+BU28/$BU$38</f>
        <v>6.5979968490551849E-2</v>
      </c>
      <c r="BW28" s="3">
        <f>+(BU28-BR28)/BR28</f>
        <v>4.7610102085187365E-3</v>
      </c>
      <c r="BX28" s="15">
        <v>1410185.3850121889</v>
      </c>
      <c r="BY28" s="19">
        <f>+BX28/$BX$38</f>
        <v>6.7511235283976637E-2</v>
      </c>
      <c r="BZ28" s="3">
        <f>+(BX28-BU28)/BU28</f>
        <v>7.0313858039181762E-3</v>
      </c>
      <c r="CA28" s="15">
        <v>1443481.0253783162</v>
      </c>
      <c r="CB28" s="19">
        <f>+CA28/$CA$38</f>
        <v>6.871009197028756E-2</v>
      </c>
      <c r="CC28" s="3">
        <f>+(CA28-BX28)/BX28</f>
        <v>2.3610825016343123E-2</v>
      </c>
      <c r="CD28" s="15">
        <v>1448363.6538249699</v>
      </c>
      <c r="CE28" s="19">
        <f>+CD28/$CD$38</f>
        <v>6.8287566708759531E-2</v>
      </c>
      <c r="CF28" s="3">
        <f>+(CD28-CA28)/CA28</f>
        <v>3.3825373252648399E-3</v>
      </c>
      <c r="CG28" s="15">
        <v>1440972.0512399804</v>
      </c>
      <c r="CH28" s="19">
        <f>+CG28/$CG$38</f>
        <v>6.6926478847399273E-2</v>
      </c>
      <c r="CI28" s="3">
        <f>+(CG28-CD28)/CD28</f>
        <v>-5.1034162349138596E-3</v>
      </c>
      <c r="CJ28" s="15">
        <v>1467466.4552267999</v>
      </c>
      <c r="CK28" s="19">
        <f>+CJ28/$CJ$38</f>
        <v>6.7205267783011252E-2</v>
      </c>
      <c r="CL28" s="3">
        <f>+(CJ28-CG28)/CG28</f>
        <v>1.8386480129174387E-2</v>
      </c>
    </row>
    <row r="29" spans="1:91" x14ac:dyDescent="0.35">
      <c r="B29" s="1"/>
      <c r="C29" s="1"/>
      <c r="D29" s="15"/>
      <c r="E29" s="16"/>
      <c r="F29" s="15"/>
      <c r="G29" s="16"/>
      <c r="H29" s="15"/>
      <c r="I29" s="16"/>
      <c r="J29" s="16"/>
      <c r="K29" s="15"/>
      <c r="L29" s="16"/>
      <c r="M29" s="16"/>
      <c r="N29" s="15"/>
      <c r="O29" s="16"/>
      <c r="P29" s="16"/>
      <c r="Q29" s="15"/>
      <c r="R29" s="16"/>
      <c r="S29" s="16"/>
      <c r="T29" s="15"/>
      <c r="U29" s="16"/>
      <c r="V29" s="15"/>
      <c r="W29" s="16"/>
      <c r="X29" s="15"/>
      <c r="Y29" s="16"/>
      <c r="Z29" s="15"/>
      <c r="AA29" s="16"/>
      <c r="AB29" s="15"/>
      <c r="AC29" s="16"/>
      <c r="AD29" s="15"/>
      <c r="AE29" s="16"/>
      <c r="AF29" s="15"/>
      <c r="AG29" s="16"/>
      <c r="AH29" s="15"/>
      <c r="AI29" s="15"/>
      <c r="AJ29" s="15"/>
      <c r="AK29" s="15"/>
      <c r="AL29" s="15"/>
      <c r="AM29" s="15"/>
      <c r="AN29" s="15"/>
      <c r="AO29" s="15"/>
      <c r="AP29" s="15"/>
      <c r="AQ29" s="2"/>
      <c r="AR29" s="15"/>
      <c r="AS29" s="31"/>
      <c r="AT29" s="15"/>
      <c r="AU29" s="2"/>
      <c r="AV29" s="15"/>
      <c r="AW29" s="2"/>
      <c r="AX29" s="15"/>
      <c r="AY29" s="2"/>
      <c r="AZ29" s="15"/>
      <c r="BA29" s="2"/>
      <c r="BB29" s="3"/>
      <c r="BC29" s="15"/>
      <c r="BD29" s="2"/>
      <c r="BE29" s="3"/>
      <c r="BF29" s="15"/>
      <c r="BG29" s="2"/>
      <c r="BH29" s="3"/>
      <c r="BI29" s="15"/>
      <c r="BJ29" s="2"/>
      <c r="BK29" s="3"/>
      <c r="BL29" s="15"/>
      <c r="BM29" s="2"/>
      <c r="BN29" s="3"/>
      <c r="BO29" s="3"/>
      <c r="BP29" s="2"/>
      <c r="BQ29" s="3"/>
      <c r="BR29" s="15"/>
      <c r="BS29" s="2"/>
      <c r="BT29" s="3"/>
      <c r="BU29" s="15"/>
      <c r="BV29" s="2"/>
      <c r="BW29" s="3"/>
      <c r="BX29" s="15"/>
      <c r="BY29" s="2"/>
      <c r="BZ29" s="3"/>
      <c r="CA29" s="15"/>
      <c r="CB29" s="2"/>
      <c r="CC29" s="3"/>
      <c r="CD29" s="15"/>
      <c r="CE29" s="2"/>
      <c r="CF29" s="3"/>
      <c r="CG29" s="15"/>
      <c r="CH29" s="2"/>
      <c r="CI29" s="3"/>
      <c r="CJ29" s="15"/>
      <c r="CK29" s="2"/>
      <c r="CL29" s="3"/>
    </row>
    <row r="30" spans="1:91" x14ac:dyDescent="0.35">
      <c r="B30" s="29" t="s">
        <v>6</v>
      </c>
      <c r="C30" s="1"/>
      <c r="D30" s="15">
        <v>1884101.9859334698</v>
      </c>
      <c r="E30" s="16">
        <v>0.17735687848534284</v>
      </c>
      <c r="F30" s="15">
        <v>1948156.9056875799</v>
      </c>
      <c r="G30" s="17">
        <v>0.1802229207745128</v>
      </c>
      <c r="H30" s="15">
        <v>1992262.6106620699</v>
      </c>
      <c r="I30" s="17">
        <v>0.17474021493651784</v>
      </c>
      <c r="J30" s="17">
        <f t="shared" si="11"/>
        <v>2.2639708765615763E-2</v>
      </c>
      <c r="K30" s="15">
        <v>2004392.92679601</v>
      </c>
      <c r="L30" s="17">
        <v>0.32447478924262363</v>
      </c>
      <c r="M30" s="17">
        <f t="shared" si="3"/>
        <v>6.0887134401970099E-3</v>
      </c>
      <c r="N30" s="15">
        <v>2067720.6274820201</v>
      </c>
      <c r="O30" s="17">
        <v>0.16933775108567606</v>
      </c>
      <c r="P30" s="17">
        <f>(+N30-H30)/H30</f>
        <v>3.7875537299208735E-2</v>
      </c>
      <c r="Q30" s="15">
        <f>1922852.5653355+169731.97089224</f>
        <v>2092584.5362277401</v>
      </c>
      <c r="R30" s="17">
        <v>0.16486597792885263</v>
      </c>
      <c r="S30" s="17">
        <f>(+Q30-K30)/K30</f>
        <v>4.3999162166623182E-2</v>
      </c>
      <c r="T30" s="15">
        <f>2098186.40849+169731.97089224</f>
        <v>2267918.3793822397</v>
      </c>
      <c r="U30" s="17">
        <f t="shared" ref="U30:U36" si="44">+T30/$T$38</f>
        <v>0.16839032009794097</v>
      </c>
      <c r="V30" s="15">
        <f>2277223.51481087+169731.97089224</f>
        <v>2446955.4857031098</v>
      </c>
      <c r="W30" s="17">
        <f>+V30/$V$38</f>
        <v>0.17718018318518905</v>
      </c>
      <c r="X30" s="15">
        <f>2320856.39569033+175144.57750024</f>
        <v>2496000.9731905698</v>
      </c>
      <c r="Y30" s="17">
        <f>+X30/$X$38</f>
        <v>0.17037490517225795</v>
      </c>
      <c r="Z30" s="15">
        <f>2426390.01635263+158699.459497945</f>
        <v>2585089.4758505751</v>
      </c>
      <c r="AA30" s="17">
        <f>+Z30/$Z$38</f>
        <v>0.17429355731762122</v>
      </c>
      <c r="AB30" s="15">
        <f>2633955.46852735+103659.607249455</f>
        <v>2737615.0757768052</v>
      </c>
      <c r="AC30" s="17">
        <f>+AB30/$AV$38</f>
        <v>0.1316647175423864</v>
      </c>
      <c r="AD30" s="15">
        <f>2616625.7160236+103151.588899358</f>
        <v>2719777.3049229584</v>
      </c>
      <c r="AE30" s="17">
        <f>+AD30/$AD$38</f>
        <v>0.16897567436228883</v>
      </c>
      <c r="AF30" s="15">
        <f>2630301.84405351+68960.353098114</f>
        <v>2699262.1971516241</v>
      </c>
      <c r="AG30" s="17">
        <f>+AF30/$AF$38</f>
        <v>0.16342499278342904</v>
      </c>
      <c r="AH30" s="15">
        <f>2699272.30036663+87944.7834591252</f>
        <v>2787217.0838257549</v>
      </c>
      <c r="AI30" s="18">
        <f>+AH30/$AH$38</f>
        <v>0.16809564517551681</v>
      </c>
      <c r="AJ30" s="15">
        <f>2700052.41838262+102843.200834593</f>
        <v>2802895.6192172128</v>
      </c>
      <c r="AK30" s="18">
        <f>+AJ30/$AJ$38</f>
        <v>0.16483127310064324</v>
      </c>
      <c r="AL30" s="15">
        <f>2605534.21190742+46533.7578804768</f>
        <v>2652067.9697878966</v>
      </c>
      <c r="AM30" s="18">
        <f>+AL30/$AL$38</f>
        <v>0.15528965453499496</v>
      </c>
      <c r="AN30" s="15">
        <f>2637652.40362687+65249.3670897646</f>
        <v>2702901.7707166346</v>
      </c>
      <c r="AO30" s="18">
        <f>+AN30/$AN$38</f>
        <v>0.14854378763931927</v>
      </c>
      <c r="AP30" s="15">
        <f>2817086.66862169+75179.9884656078</f>
        <v>2892266.6570872976</v>
      </c>
      <c r="AQ30" s="19">
        <f>+AP30/$AP$38</f>
        <v>0.15616101668565646</v>
      </c>
      <c r="AR30" s="15">
        <f>2834078.0191845+74708.8260529844</f>
        <v>2908786.8452374842</v>
      </c>
      <c r="AS30" s="30">
        <f>+AR30/$AR$38</f>
        <v>0.14911364276990477</v>
      </c>
      <c r="AT30" s="15">
        <f>2951357.73938785+77094.0016943994</f>
        <v>3028451.7410822492</v>
      </c>
      <c r="AU30" s="19">
        <f>+AT30/$AT$38</f>
        <v>0.15096895113315165</v>
      </c>
      <c r="AV30" s="15">
        <f>2975514.28835646+207834.214972254</f>
        <v>3183348.5033287141</v>
      </c>
      <c r="AW30" s="19">
        <f>+AV30/$AV$38</f>
        <v>0.15310212353751854</v>
      </c>
      <c r="AX30" s="15">
        <f>3115784.72051273+194436.777307449</f>
        <v>3310221.497820179</v>
      </c>
      <c r="AY30" s="19">
        <f>+AX30/$AX$38</f>
        <v>0.16152835689962827</v>
      </c>
      <c r="AZ30" s="15">
        <f>3198742.45546564+166970.455076</f>
        <v>3365712.9105416401</v>
      </c>
      <c r="BA30" s="19">
        <f>+AZ30/$AZ$38</f>
        <v>0.15994689723348007</v>
      </c>
      <c r="BB30" s="3">
        <f t="shared" si="1"/>
        <v>1.6763655470790374E-2</v>
      </c>
      <c r="BC30" s="15">
        <f>3119827.11203482+168010.646004376</f>
        <v>3287837.758039196</v>
      </c>
      <c r="BD30" s="19">
        <f>+BC30/$BC$38</f>
        <v>0.15598677547738973</v>
      </c>
      <c r="BE30" s="3">
        <f t="shared" si="4"/>
        <v>-2.3137788210792987E-2</v>
      </c>
      <c r="BF30" s="15">
        <f>3356949.48522071+159862.81</f>
        <v>3516812.2952207099</v>
      </c>
      <c r="BG30" s="19">
        <f>+BF30/$BF$38</f>
        <v>0.16819100690265823</v>
      </c>
      <c r="BH30" s="3">
        <f>+(BF30-BC30)/BC30</f>
        <v>6.9642894215701787E-2</v>
      </c>
      <c r="BI30" s="15">
        <f>3056103.70872497+160386.895360944</f>
        <v>3216490.6040859139</v>
      </c>
      <c r="BJ30" s="19">
        <f>+BI30/$BI$38</f>
        <v>0.15306580342185844</v>
      </c>
      <c r="BK30" s="3">
        <f>+(BI30-BF30)/BF30</f>
        <v>-8.5395996693633111E-2</v>
      </c>
      <c r="BL30" s="15">
        <f>2934055.68091728+150862.0849</f>
        <v>3084917.7658172799</v>
      </c>
      <c r="BM30" s="19">
        <f>+BL30/$BL$38</f>
        <v>0.14473895218553515</v>
      </c>
      <c r="BN30" s="3">
        <f>+(BL30-BI30)/BI30</f>
        <v>-4.0905711989799289E-2</v>
      </c>
      <c r="BO30" s="15">
        <f>3015523.89519566+72248.3133</f>
        <v>3087772.2084956602</v>
      </c>
      <c r="BP30" s="19">
        <f>+BO30/$BO$38</f>
        <v>0.14203758885108153</v>
      </c>
      <c r="BQ30" s="3">
        <f>+(BO30-BL30)/BL30</f>
        <v>9.2528971436749824E-4</v>
      </c>
      <c r="BR30" s="15">
        <f>3023404.25296445+70480.69</f>
        <v>3093884.94296445</v>
      </c>
      <c r="BS30" s="19">
        <f>+BR30/$BR$38</f>
        <v>0.14526176088334414</v>
      </c>
      <c r="BT30" s="3">
        <f t="shared" si="0"/>
        <v>1.9796584903417633E-3</v>
      </c>
      <c r="BU30" s="76">
        <f>3031969.23529375+95210.5934924532</f>
        <v>3127179.8287862032</v>
      </c>
      <c r="BV30" s="19">
        <f>+BU30/$BU$38</f>
        <v>0.14734376290759779</v>
      </c>
      <c r="BW30" s="3">
        <f t="shared" ref="BW30" si="45">+(BU30-BR30)/BR30</f>
        <v>1.0761513900982759E-2</v>
      </c>
      <c r="BX30" s="76">
        <f>2863932.64884397+92636.333728378</f>
        <v>2956568.9825723483</v>
      </c>
      <c r="BY30" s="19">
        <f>+BX30/$BX$38</f>
        <v>0.14154282574274726</v>
      </c>
      <c r="BZ30" s="3">
        <f t="shared" ref="BZ30" si="46">+(BX30-BU30)/BU30</f>
        <v>-5.4557414525175055E-2</v>
      </c>
      <c r="CA30" s="15">
        <f>2824952.24828788+93542.8749</f>
        <v>2918495.12318788</v>
      </c>
      <c r="CB30" s="19">
        <f>+CA30/$CA$38</f>
        <v>0.13892116682068534</v>
      </c>
      <c r="CC30" s="3">
        <f t="shared" ref="CC30" si="47">+(CA30-BX30)/BX30</f>
        <v>-1.2877717248911378E-2</v>
      </c>
      <c r="CD30" s="15">
        <f>2626854.58938793+46708.5177678012</f>
        <v>2673563.1071557314</v>
      </c>
      <c r="CE30" s="19">
        <f>+CD30/$CD$38</f>
        <v>0.12605336964085301</v>
      </c>
      <c r="CF30" s="3">
        <f t="shared" ref="CF30" si="48">+(CD30-CA30)/CA30</f>
        <v>-8.392407925787751E-2</v>
      </c>
      <c r="CG30" s="15">
        <f>2636491.25420911+44284.6894483523</f>
        <v>2680775.9436574625</v>
      </c>
      <c r="CH30" s="19">
        <f>+CG30/$CG$38</f>
        <v>0.12450962829807731</v>
      </c>
      <c r="CI30" s="3">
        <f t="shared" ref="CI30" si="49">+(CG30-CD30)/CD30</f>
        <v>2.6978366369681257E-3</v>
      </c>
      <c r="CJ30" s="15">
        <f>2682583.63036435+42863.8045000206</f>
        <v>2725447.4348643706</v>
      </c>
      <c r="CK30" s="19">
        <f>+CJ30/$CJ$38</f>
        <v>0.12481677113380607</v>
      </c>
      <c r="CL30" s="3">
        <f t="shared" ref="CL30" si="50">+(CJ30-CG30)/CG30</f>
        <v>1.6663642223662112E-2</v>
      </c>
      <c r="CM30" s="52"/>
    </row>
    <row r="31" spans="1:91" x14ac:dyDescent="0.35">
      <c r="B31" s="1"/>
      <c r="C31" s="1"/>
      <c r="D31" s="15"/>
      <c r="E31" s="16"/>
      <c r="F31" s="15"/>
      <c r="G31" s="16"/>
      <c r="H31" s="15"/>
      <c r="I31" s="16"/>
      <c r="J31" s="16"/>
      <c r="K31" s="15"/>
      <c r="L31" s="16"/>
      <c r="M31" s="16"/>
      <c r="N31" s="15"/>
      <c r="O31" s="16"/>
      <c r="P31" s="16"/>
      <c r="Q31" s="15"/>
      <c r="R31" s="16"/>
      <c r="S31" s="16"/>
      <c r="T31" s="15"/>
      <c r="U31" s="16"/>
      <c r="V31" s="15"/>
      <c r="W31" s="16"/>
      <c r="X31" s="15"/>
      <c r="Y31" s="16"/>
      <c r="Z31" s="15"/>
      <c r="AA31" s="16"/>
      <c r="AB31" s="15"/>
      <c r="AC31" s="16"/>
      <c r="AD31" s="15"/>
      <c r="AE31" s="16"/>
      <c r="AF31" s="15"/>
      <c r="AG31" s="16"/>
      <c r="AH31" s="15"/>
      <c r="AI31" s="15"/>
      <c r="AJ31" s="15"/>
      <c r="AK31" s="15"/>
      <c r="AL31" s="15"/>
      <c r="AM31" s="15"/>
      <c r="AN31" s="15"/>
      <c r="AO31" s="15"/>
      <c r="AP31" s="15"/>
      <c r="AQ31" s="2"/>
      <c r="AR31" s="15"/>
      <c r="AS31" s="31"/>
      <c r="AT31" s="15"/>
      <c r="AU31" s="2"/>
      <c r="AV31" s="15"/>
      <c r="AW31" s="2"/>
      <c r="AX31" s="15"/>
      <c r="AY31" s="2"/>
      <c r="AZ31" s="15"/>
      <c r="BA31" s="2"/>
      <c r="BB31" s="3"/>
      <c r="BC31" s="15"/>
      <c r="BD31" s="2"/>
      <c r="BE31" s="3"/>
      <c r="BF31" s="15"/>
      <c r="BG31" s="2"/>
      <c r="BH31" s="3"/>
      <c r="BI31" s="15"/>
      <c r="BJ31" s="2"/>
      <c r="BK31" s="3"/>
      <c r="BL31" s="15"/>
      <c r="BM31" s="2"/>
      <c r="BN31" s="3"/>
      <c r="BO31" s="3"/>
      <c r="BP31" s="2"/>
      <c r="BQ31" s="3"/>
      <c r="BR31" s="15"/>
      <c r="BS31" s="2"/>
      <c r="BT31" s="3"/>
      <c r="BU31" s="15"/>
      <c r="BV31" s="2"/>
      <c r="BW31" s="3"/>
      <c r="BX31" s="15"/>
      <c r="BY31" s="2"/>
      <c r="BZ31" s="3"/>
      <c r="CA31" s="15"/>
      <c r="CB31" s="2"/>
      <c r="CC31" s="3"/>
      <c r="CD31" s="15"/>
      <c r="CE31" s="2"/>
      <c r="CF31" s="3"/>
      <c r="CG31" s="15"/>
      <c r="CH31" s="2"/>
      <c r="CI31" s="3"/>
      <c r="CJ31" s="15"/>
      <c r="CK31" s="2"/>
      <c r="CL31" s="3"/>
    </row>
    <row r="32" spans="1:91" ht="16.2" x14ac:dyDescent="0.35">
      <c r="B32" s="29" t="s">
        <v>68</v>
      </c>
      <c r="C32" s="1"/>
      <c r="D32" s="15">
        <v>958729.67386074783</v>
      </c>
      <c r="E32" s="16">
        <v>9.0248459763163411E-2</v>
      </c>
      <c r="F32" s="15">
        <v>1040786.2974319522</v>
      </c>
      <c r="G32" s="17">
        <v>9.6282566295180047E-2</v>
      </c>
      <c r="H32" s="15">
        <v>1085213.5767081974</v>
      </c>
      <c r="I32" s="17">
        <v>9.5183462577255101E-2</v>
      </c>
      <c r="J32" s="17">
        <f t="shared" si="11"/>
        <v>4.2686264592323636E-2</v>
      </c>
      <c r="K32" s="15">
        <v>1091534.818</v>
      </c>
      <c r="L32" s="17">
        <v>0.17669965069557464</v>
      </c>
      <c r="M32" s="17">
        <f t="shared" si="3"/>
        <v>5.8248822420531926E-3</v>
      </c>
      <c r="N32" s="15">
        <v>1103443.7439999999</v>
      </c>
      <c r="O32" s="17">
        <v>9.0367470138391914E-2</v>
      </c>
      <c r="P32" s="17">
        <f>(+N32-H32)/H32</f>
        <v>1.6798690767489806E-2</v>
      </c>
      <c r="Q32" s="15">
        <v>1098831.527</v>
      </c>
      <c r="R32" s="17">
        <v>8.6572337289886878E-2</v>
      </c>
      <c r="S32" s="17">
        <f>(+Q32-K32)/K32</f>
        <v>6.6848156189553923E-3</v>
      </c>
      <c r="T32" s="15">
        <v>1279484.9479</v>
      </c>
      <c r="U32" s="17">
        <f t="shared" si="44"/>
        <v>9.5000279505678575E-2</v>
      </c>
      <c r="V32" s="15">
        <v>1279684.0674999999</v>
      </c>
      <c r="W32" s="17">
        <f>+V32/$V$38</f>
        <v>9.2659902815382736E-2</v>
      </c>
      <c r="X32" s="15">
        <v>1523641.5275288299</v>
      </c>
      <c r="Y32" s="17">
        <f>+X32/$X$38</f>
        <v>0.10400247578325721</v>
      </c>
      <c r="Z32" s="15">
        <v>1563204.6634177659</v>
      </c>
      <c r="AA32" s="17">
        <f>+Z32/$Z$38</f>
        <v>0.10539538540070474</v>
      </c>
      <c r="AB32" s="15">
        <v>1658113.1525280538</v>
      </c>
      <c r="AC32" s="17">
        <f>+AB32/$AV$38</f>
        <v>7.9746419360645374E-2</v>
      </c>
      <c r="AD32" s="15">
        <v>1727175.607038232</v>
      </c>
      <c r="AE32" s="17">
        <f>+AD32/$AD$38</f>
        <v>0.10730682339804579</v>
      </c>
      <c r="AF32" s="15">
        <v>1794157.7248842726</v>
      </c>
      <c r="AG32" s="17">
        <f>+AF32/$AF$38</f>
        <v>0.1086260584655146</v>
      </c>
      <c r="AH32" s="15">
        <v>1706754.5461619999</v>
      </c>
      <c r="AI32" s="18">
        <f>+AH32/$AH$38</f>
        <v>0.10293349888611814</v>
      </c>
      <c r="AJ32" s="15">
        <v>1708444.1839620001</v>
      </c>
      <c r="AK32" s="18">
        <f>+AJ32/$AJ$38</f>
        <v>0.10046932462739806</v>
      </c>
      <c r="AL32" s="15">
        <v>1939423.6032442101</v>
      </c>
      <c r="AM32" s="18">
        <f>+AL32/$AL$38</f>
        <v>0.11356135090643822</v>
      </c>
      <c r="AN32" s="15">
        <v>2061453.1882902998</v>
      </c>
      <c r="AO32" s="18">
        <f>+AN32/$AN$38</f>
        <v>0.11329159940155845</v>
      </c>
      <c r="AP32" s="15">
        <v>2115242.9730977998</v>
      </c>
      <c r="AQ32" s="19">
        <f>+AP32/$AP$38</f>
        <v>0.11420748235876546</v>
      </c>
      <c r="AR32" s="15">
        <v>2318078.196540134</v>
      </c>
      <c r="AS32" s="30">
        <f>+AR32/$AR$38</f>
        <v>0.11883204322019336</v>
      </c>
      <c r="AT32" s="15">
        <v>2435590.8505778201</v>
      </c>
      <c r="AU32" s="19">
        <f>+AT32/$AT$38</f>
        <v>0.12141471205013595</v>
      </c>
      <c r="AV32" s="15">
        <v>2461481.2730330997</v>
      </c>
      <c r="AW32" s="19">
        <f>+AV32/$AV$38</f>
        <v>0.11838415101429675</v>
      </c>
      <c r="AX32" s="15">
        <v>2389399.0197057398</v>
      </c>
      <c r="AY32" s="19">
        <f>+AX32/$AX$38</f>
        <v>0.11659512751180161</v>
      </c>
      <c r="AZ32" s="15">
        <v>2571387.0802688999</v>
      </c>
      <c r="BA32" s="19">
        <f>+AZ32/$AZ$38</f>
        <v>0.12219859388098567</v>
      </c>
      <c r="BB32" s="3">
        <f t="shared" si="1"/>
        <v>7.6164784141232456E-2</v>
      </c>
      <c r="BC32" s="15">
        <v>2620187.6117624049</v>
      </c>
      <c r="BD32" s="19">
        <f>+BC32/$BC$38</f>
        <v>0.12431106605101155</v>
      </c>
      <c r="BE32" s="3">
        <f t="shared" si="4"/>
        <v>1.8978290692975613E-2</v>
      </c>
      <c r="BF32" s="15">
        <v>2648196.8108000001</v>
      </c>
      <c r="BG32" s="19">
        <f>+BF32/$BF$38</f>
        <v>0.12664960501024053</v>
      </c>
      <c r="BH32" s="3">
        <f>+(BF32-BC32)/BC32</f>
        <v>1.0689768515757345E-2</v>
      </c>
      <c r="BI32" s="15">
        <v>2593883.89322</v>
      </c>
      <c r="BJ32" s="19">
        <f>+BI32/$BI$38</f>
        <v>0.12343730200684658</v>
      </c>
      <c r="BK32" s="3">
        <f>+(BI32-BF32)/BF32</f>
        <v>-2.0509396189323483E-2</v>
      </c>
      <c r="BL32" s="15">
        <v>2727297.5045249998</v>
      </c>
      <c r="BM32" s="19">
        <f>+BL32/$BL$38</f>
        <v>0.12796003429238709</v>
      </c>
      <c r="BN32" s="3">
        <f>+(BL32-BI32)/BI32</f>
        <v>5.1433917938162828E-2</v>
      </c>
      <c r="BO32" s="15">
        <v>2856347.4983118996</v>
      </c>
      <c r="BP32" s="19">
        <f>+BO32/$BO$38</f>
        <v>0.13139204714155361</v>
      </c>
      <c r="BQ32" s="3">
        <f>+(BO32-BL32)/BL32</f>
        <v>4.7317901172419345E-2</v>
      </c>
      <c r="BR32" s="15">
        <v>2821684.9481888996</v>
      </c>
      <c r="BS32" s="19">
        <f>+BR32/$BR$38</f>
        <v>0.13248163127850904</v>
      </c>
      <c r="BT32" s="3">
        <f t="shared" si="0"/>
        <v>-1.2135270706202801E-2</v>
      </c>
      <c r="BU32" s="15">
        <v>2703361.4191756998</v>
      </c>
      <c r="BV32" s="19">
        <f>+BU32/$BU$38</f>
        <v>0.12737465250125329</v>
      </c>
      <c r="BW32" s="3">
        <f>+(BU32-BR32)/BR32</f>
        <v>-4.1933642906925445E-2</v>
      </c>
      <c r="BX32" s="15">
        <v>2773398.9545084001</v>
      </c>
      <c r="BY32" s="19">
        <f>+BX32/$BX$38</f>
        <v>0.13277374120036922</v>
      </c>
      <c r="BZ32" s="3">
        <f>+(BX32-BU32)/BU32</f>
        <v>2.5907573747226093E-2</v>
      </c>
      <c r="CA32" s="15">
        <v>2793652.8276620149</v>
      </c>
      <c r="CB32" s="19">
        <f>+CA32/$CA$38</f>
        <v>0.13297863937726717</v>
      </c>
      <c r="CC32" s="3">
        <f>+(CA32-BX32)/BX32</f>
        <v>7.3029064645352909E-3</v>
      </c>
      <c r="CD32" s="15">
        <v>2895294.068</v>
      </c>
      <c r="CE32" s="19">
        <f>+CD32/$CD$38</f>
        <v>0.13650755891856886</v>
      </c>
      <c r="CF32" s="3">
        <f>+(CD32-CA32)/CA32</f>
        <v>3.6382917494815495E-2</v>
      </c>
      <c r="CG32" s="15">
        <v>2864240.2981989002</v>
      </c>
      <c r="CH32" s="19">
        <f>+CG32/$CG$38</f>
        <v>0.13303069796969469</v>
      </c>
      <c r="CI32" s="3">
        <f>+(CG32-CD32)/CD32</f>
        <v>-1.0725601293602272E-2</v>
      </c>
      <c r="CJ32" s="15">
        <v>3697334.5808969997</v>
      </c>
      <c r="CK32" s="19">
        <f>+CJ32/$CJ$38</f>
        <v>0.16932609240063851</v>
      </c>
      <c r="CL32" s="3">
        <f>+(CJ32-CG32)/CG32</f>
        <v>0.29086047117693592</v>
      </c>
    </row>
    <row r="33" spans="2:90" x14ac:dyDescent="0.35">
      <c r="B33" s="1"/>
      <c r="C33" s="1"/>
      <c r="D33" s="15"/>
      <c r="E33" s="16"/>
      <c r="F33" s="15"/>
      <c r="G33" s="16"/>
      <c r="H33" s="15"/>
      <c r="I33" s="16"/>
      <c r="J33" s="16"/>
      <c r="K33" s="15"/>
      <c r="L33" s="16"/>
      <c r="M33" s="16"/>
      <c r="N33" s="15"/>
      <c r="O33" s="16"/>
      <c r="P33" s="16"/>
      <c r="Q33" s="15"/>
      <c r="R33" s="16"/>
      <c r="S33" s="16"/>
      <c r="T33" s="15"/>
      <c r="U33" s="16"/>
      <c r="V33" s="15"/>
      <c r="W33" s="16"/>
      <c r="X33" s="15"/>
      <c r="Y33" s="16"/>
      <c r="Z33" s="15"/>
      <c r="AA33" s="16"/>
      <c r="AB33" s="15"/>
      <c r="AC33" s="16"/>
      <c r="AD33" s="15"/>
      <c r="AE33" s="16"/>
      <c r="AF33" s="15"/>
      <c r="AG33" s="16"/>
      <c r="AH33" s="15"/>
      <c r="AI33" s="15"/>
      <c r="AJ33" s="15"/>
      <c r="AK33" s="15"/>
      <c r="AL33" s="15"/>
      <c r="AM33" s="15"/>
      <c r="AN33" s="15"/>
      <c r="AO33" s="15"/>
      <c r="AP33" s="15"/>
      <c r="AQ33" s="2"/>
      <c r="AR33" s="15"/>
      <c r="AS33" s="31"/>
      <c r="AT33" s="15"/>
      <c r="AU33" s="2"/>
      <c r="AV33" s="15"/>
      <c r="AW33" s="2"/>
      <c r="AX33" s="15"/>
      <c r="AY33" s="2"/>
      <c r="AZ33" s="15"/>
      <c r="BA33" s="2"/>
      <c r="BB33" s="3"/>
      <c r="BC33" s="15"/>
      <c r="BD33" s="2"/>
      <c r="BE33" s="3"/>
      <c r="BF33" s="15"/>
      <c r="BG33" s="2"/>
      <c r="BH33" s="3"/>
      <c r="BI33" s="15"/>
      <c r="BJ33" s="2"/>
      <c r="BK33" s="3"/>
      <c r="BL33" s="15"/>
      <c r="BM33" s="2"/>
      <c r="BN33" s="3"/>
      <c r="BO33" s="3"/>
      <c r="BP33" s="2"/>
      <c r="BQ33" s="3"/>
      <c r="BR33" s="15"/>
      <c r="BS33" s="2"/>
      <c r="BT33" s="3"/>
      <c r="BU33" s="15"/>
      <c r="BV33" s="2"/>
      <c r="BW33" s="3"/>
      <c r="BX33" s="15"/>
      <c r="BY33" s="2"/>
      <c r="BZ33" s="3"/>
      <c r="CA33" s="15"/>
      <c r="CB33" s="2"/>
      <c r="CC33" s="3"/>
      <c r="CD33" s="15"/>
      <c r="CE33" s="19"/>
      <c r="CF33" s="3"/>
      <c r="CG33" s="15"/>
      <c r="CH33" s="19"/>
      <c r="CI33" s="3"/>
      <c r="CJ33" s="15"/>
      <c r="CK33" s="19"/>
      <c r="CL33" s="3"/>
    </row>
    <row r="34" spans="2:90" x14ac:dyDescent="0.35">
      <c r="B34" s="29" t="s">
        <v>23</v>
      </c>
      <c r="C34" s="1"/>
      <c r="D34" s="15">
        <v>483538.79205856286</v>
      </c>
      <c r="E34" s="16">
        <v>4.5517138364243648E-2</v>
      </c>
      <c r="F34" s="15">
        <v>714744.80705898814</v>
      </c>
      <c r="G34" s="17">
        <v>6.6120647859789924E-2</v>
      </c>
      <c r="H34" s="15">
        <v>856772.77834218182</v>
      </c>
      <c r="I34" s="17">
        <v>7.5147050714121366E-2</v>
      </c>
      <c r="J34" s="17">
        <f t="shared" si="11"/>
        <v>0.19871144201467708</v>
      </c>
      <c r="K34" s="15">
        <v>823414.81011880748</v>
      </c>
      <c r="L34" s="17">
        <v>0.13329589393414679</v>
      </c>
      <c r="M34" s="17">
        <f t="shared" si="3"/>
        <v>-3.8934439873218846E-2</v>
      </c>
      <c r="N34" s="15">
        <v>1070464.277161222</v>
      </c>
      <c r="O34" s="17">
        <v>8.7666588465956277E-2</v>
      </c>
      <c r="P34" s="17">
        <f>(+N34-H34)/H34</f>
        <v>0.24941443544987962</v>
      </c>
      <c r="Q34" s="15">
        <v>1203233.432984123</v>
      </c>
      <c r="R34" s="17">
        <v>9.4797726529710316E-2</v>
      </c>
      <c r="S34" s="17">
        <f>(+Q34-K34)/K34</f>
        <v>0.46127251805261177</v>
      </c>
      <c r="T34" s="15">
        <v>1346339.6943566613</v>
      </c>
      <c r="U34" s="17">
        <f t="shared" si="44"/>
        <v>9.9964167209155089E-2</v>
      </c>
      <c r="V34" s="15">
        <v>1464792.9818813819</v>
      </c>
      <c r="W34" s="17">
        <f>+V34/$V$38</f>
        <v>0.10606334703450822</v>
      </c>
      <c r="X34" s="15">
        <v>1803253.7202632409</v>
      </c>
      <c r="Y34" s="17">
        <f>+X34/$X$38</f>
        <v>0.12308856642737939</v>
      </c>
      <c r="Z34" s="15">
        <v>1397066.9286446888</v>
      </c>
      <c r="AA34" s="17">
        <f>+Z34/$Z$38</f>
        <v>9.4193940704573514E-2</v>
      </c>
      <c r="AB34" s="15">
        <v>1790289.2477345802</v>
      </c>
      <c r="AC34" s="17">
        <f>+AB34/$AV$38</f>
        <v>8.6103386194737161E-2</v>
      </c>
      <c r="AD34" s="15">
        <v>1634622.9565552343</v>
      </c>
      <c r="AE34" s="17">
        <f>+AD34/$AD$38</f>
        <v>0.10155666639031063</v>
      </c>
      <c r="AF34" s="15">
        <v>1563349.4604408275</v>
      </c>
      <c r="AG34" s="17">
        <f>+AF34/$AF$38</f>
        <v>9.4651929167949747E-2</v>
      </c>
      <c r="AH34" s="15">
        <v>1539427.7719864324</v>
      </c>
      <c r="AI34" s="18">
        <f>+AH34/$AH$38</f>
        <v>9.2842106212256914E-2</v>
      </c>
      <c r="AJ34" s="15">
        <v>1916094.30492929</v>
      </c>
      <c r="AK34" s="18">
        <f>+AJ34/$AJ$38</f>
        <v>0.11268070829929515</v>
      </c>
      <c r="AL34" s="15">
        <v>1376619.3222868852</v>
      </c>
      <c r="AM34" s="18">
        <f>+AL34/$AL$38</f>
        <v>8.0606810013706509E-2</v>
      </c>
      <c r="AN34" s="15">
        <v>1675154.5277252924</v>
      </c>
      <c r="AO34" s="18">
        <f>+AN34/$AN$38</f>
        <v>9.2061724597374245E-2</v>
      </c>
      <c r="AP34" s="15">
        <v>1810696.7627318837</v>
      </c>
      <c r="AQ34" s="19">
        <f>+AP34/$AP$38</f>
        <v>9.7764238537533729E-2</v>
      </c>
      <c r="AR34" s="15">
        <v>2494822.8085496277</v>
      </c>
      <c r="AS34" s="30">
        <f>+AR34/$AR$38</f>
        <v>0.12789253281221685</v>
      </c>
      <c r="AT34" s="15">
        <v>1980918.2754129507</v>
      </c>
      <c r="AU34" s="19">
        <f>+AT34/$AT$38</f>
        <v>9.8749189317678718E-2</v>
      </c>
      <c r="AV34" s="15">
        <v>2290086.7848034874</v>
      </c>
      <c r="AW34" s="19">
        <f>+AV34/$AV$38</f>
        <v>0.1101409881676462</v>
      </c>
      <c r="AX34" s="15">
        <v>1966957.508542601</v>
      </c>
      <c r="AY34" s="19">
        <f>+AX34/$AX$38</f>
        <v>9.5981315647758012E-2</v>
      </c>
      <c r="AZ34" s="15">
        <v>1846076.7414499819</v>
      </c>
      <c r="BA34" s="19">
        <f>+AZ34/$AZ$38</f>
        <v>8.7730075231609667E-2</v>
      </c>
      <c r="BB34" s="3">
        <f t="shared" si="1"/>
        <v>-6.1455708406321689E-2</v>
      </c>
      <c r="BC34" s="15">
        <v>2351102.0933403373</v>
      </c>
      <c r="BD34" s="19">
        <f>+BC34/$BC$38</f>
        <v>0.11154468722234562</v>
      </c>
      <c r="BE34" s="3">
        <f t="shared" si="4"/>
        <v>0.27356682447214431</v>
      </c>
      <c r="BF34" s="15">
        <v>2488765.7369955331</v>
      </c>
      <c r="BG34" s="19">
        <f>+BF34/$BF$38</f>
        <v>0.11902483843649239</v>
      </c>
      <c r="BH34" s="3">
        <f>+(BF34-BC34)/BC34</f>
        <v>5.8552814037781613E-2</v>
      </c>
      <c r="BI34" s="15">
        <v>3026149.1119605936</v>
      </c>
      <c r="BJ34" s="19">
        <f>+BI34/$BI$38</f>
        <v>0.14400786512734964</v>
      </c>
      <c r="BK34" s="3">
        <f>+(BI34-BF34)/BF34</f>
        <v>0.21592364720264751</v>
      </c>
      <c r="BL34" s="15">
        <v>2144506.8968460187</v>
      </c>
      <c r="BM34" s="19">
        <f>+BL34/$BL$38</f>
        <v>0.10061651712194487</v>
      </c>
      <c r="BN34" s="3">
        <f>+(BL34-BI34)/BI34</f>
        <v>-0.29134129961737842</v>
      </c>
      <c r="BO34" s="15">
        <v>8630360.2306223717</v>
      </c>
      <c r="BP34" s="19">
        <f>+BO34/$BO$38</f>
        <v>0.39699675860191891</v>
      </c>
      <c r="BQ34" s="3">
        <f>+(BO34-BL34)/BL34</f>
        <v>3.024403112582787</v>
      </c>
      <c r="BR34" s="15">
        <v>8665760.2947587799</v>
      </c>
      <c r="BS34" s="19">
        <f>+BR34/$BR$38</f>
        <v>0.40686826530901538</v>
      </c>
      <c r="BT34" s="3">
        <f t="shared" si="0"/>
        <v>4.1018060880936629E-3</v>
      </c>
      <c r="BU34" s="15">
        <v>8817929.5025689397</v>
      </c>
      <c r="BV34" s="19">
        <f>+BU34/$BU$38</f>
        <v>0.41547559945304857</v>
      </c>
      <c r="BW34" s="3">
        <f t="shared" ref="BW34" si="51">+(BU34-BR34)/BR34</f>
        <v>1.7559821946863067E-2</v>
      </c>
      <c r="BX34" s="15">
        <v>9009759.2968192585</v>
      </c>
      <c r="BY34" s="19">
        <f>+BX34/$BX$38</f>
        <v>0.43133334539153756</v>
      </c>
      <c r="BZ34" s="3">
        <f t="shared" ref="BZ34" si="52">+(BX34-BU34)/BU34</f>
        <v>2.1754516657729317E-2</v>
      </c>
      <c r="CA34" s="15">
        <v>9361472.0760320313</v>
      </c>
      <c r="CB34" s="19">
        <f>+CA34/$CA$38</f>
        <v>0.44560863358273711</v>
      </c>
      <c r="CC34" s="3">
        <f t="shared" ref="CC34" si="53">+(CA34-BX34)/BX34</f>
        <v>3.9036867426296175E-2</v>
      </c>
      <c r="CD34" s="15">
        <v>9609565.42687371</v>
      </c>
      <c r="CE34" s="19">
        <f>+CD34/$CD$38</f>
        <v>0.45307256806454566</v>
      </c>
      <c r="CF34" s="3">
        <f t="shared" ref="CF34" si="54">+(CD34-CA34)/CA34</f>
        <v>2.6501531898692147E-2</v>
      </c>
      <c r="CG34" s="15">
        <v>9877395.8985379227</v>
      </c>
      <c r="CH34" s="19">
        <f>+CG34/$CG$38</f>
        <v>0.45875929869842658</v>
      </c>
      <c r="CI34" s="3">
        <f t="shared" ref="CI34" si="55">+(CG34-CD34)/CD34</f>
        <v>2.7871236602979892E-2</v>
      </c>
      <c r="CJ34" s="15">
        <v>9117880.1793061756</v>
      </c>
      <c r="CK34" s="19">
        <f>+CJ34/$CJ$38</f>
        <v>0.41756973515893925</v>
      </c>
      <c r="CL34" s="3">
        <f t="shared" ref="CL34" si="56">+(CJ34-CG34)/CG34</f>
        <v>-7.689432792140817E-2</v>
      </c>
    </row>
    <row r="35" spans="2:90" x14ac:dyDescent="0.35">
      <c r="B35" s="20"/>
      <c r="C35" s="1"/>
      <c r="D35" s="15"/>
      <c r="E35" s="16"/>
      <c r="F35" s="15"/>
      <c r="G35" s="16"/>
      <c r="H35" s="15"/>
      <c r="I35" s="16"/>
      <c r="J35" s="16"/>
      <c r="K35" s="15"/>
      <c r="L35" s="16"/>
      <c r="M35" s="16"/>
      <c r="N35" s="15"/>
      <c r="O35" s="16"/>
      <c r="P35" s="16"/>
      <c r="Q35" s="15"/>
      <c r="R35" s="16"/>
      <c r="S35" s="16"/>
      <c r="T35" s="15"/>
      <c r="U35" s="16"/>
      <c r="V35" s="15"/>
      <c r="W35" s="16"/>
      <c r="X35" s="15"/>
      <c r="Y35" s="16"/>
      <c r="Z35" s="15"/>
      <c r="AA35" s="16"/>
      <c r="AB35" s="15"/>
      <c r="AC35" s="16"/>
      <c r="AD35" s="15"/>
      <c r="AE35" s="16"/>
      <c r="AF35" s="15"/>
      <c r="AG35" s="16"/>
      <c r="AH35" s="15"/>
      <c r="AI35" s="15"/>
      <c r="AJ35" s="15"/>
      <c r="AK35" s="15"/>
      <c r="AL35" s="15"/>
      <c r="AM35" s="15"/>
      <c r="AN35" s="15"/>
      <c r="AO35" s="15"/>
      <c r="AP35" s="15"/>
      <c r="AQ35" s="2"/>
      <c r="AR35" s="15"/>
      <c r="AS35" s="31"/>
      <c r="AT35" s="15"/>
      <c r="AU35" s="2"/>
      <c r="AV35" s="15"/>
      <c r="AW35" s="2"/>
      <c r="AX35" s="15"/>
      <c r="AY35" s="2"/>
      <c r="AZ35" s="15"/>
      <c r="BA35" s="2"/>
      <c r="BB35" s="3"/>
      <c r="BC35" s="15"/>
      <c r="BD35" s="2"/>
      <c r="BE35" s="3"/>
      <c r="BF35" s="15"/>
      <c r="BG35" s="2"/>
      <c r="BH35" s="3"/>
      <c r="BI35" s="15"/>
      <c r="BJ35" s="2"/>
      <c r="BK35" s="3"/>
      <c r="BL35" s="15"/>
      <c r="BM35" s="2"/>
      <c r="BN35" s="3"/>
      <c r="BO35" s="3"/>
      <c r="BP35" s="2"/>
      <c r="BQ35" s="3"/>
      <c r="BR35" s="15"/>
      <c r="BS35" s="2"/>
      <c r="BT35" s="3"/>
      <c r="BU35" s="15"/>
      <c r="BV35" s="2"/>
      <c r="BW35" s="3"/>
      <c r="BX35" s="15"/>
      <c r="BY35" s="2"/>
      <c r="BZ35" s="3"/>
      <c r="CA35" s="15"/>
      <c r="CB35" s="2"/>
      <c r="CC35" s="3"/>
      <c r="CD35" s="15"/>
      <c r="CE35" s="19"/>
      <c r="CF35" s="3"/>
      <c r="CG35" s="15"/>
      <c r="CH35" s="19"/>
      <c r="CI35" s="3"/>
      <c r="CJ35" s="15"/>
      <c r="CK35" s="19"/>
      <c r="CL35" s="3"/>
    </row>
    <row r="36" spans="2:90" x14ac:dyDescent="0.35">
      <c r="B36" s="100" t="s">
        <v>7</v>
      </c>
      <c r="C36" s="100"/>
      <c r="D36" s="15">
        <v>166407.00000000003</v>
      </c>
      <c r="E36" s="16">
        <v>1.5664452507589792E-2</v>
      </c>
      <c r="F36" s="15">
        <v>166932.00000000003</v>
      </c>
      <c r="G36" s="17">
        <v>1.5442787243111111E-2</v>
      </c>
      <c r="H36" s="15">
        <v>168747</v>
      </c>
      <c r="I36" s="17">
        <v>1.4800702925450914E-2</v>
      </c>
      <c r="J36" s="17">
        <f t="shared" si="11"/>
        <v>1.0872690676442927E-2</v>
      </c>
      <c r="K36" s="15">
        <v>172020</v>
      </c>
      <c r="L36" s="17">
        <v>2.7846911900022187E-2</v>
      </c>
      <c r="M36" s="17">
        <f t="shared" si="3"/>
        <v>1.939590037156216E-2</v>
      </c>
      <c r="N36" s="15">
        <v>171696.00000000003</v>
      </c>
      <c r="O36" s="17">
        <v>1.4061190919109821E-2</v>
      </c>
      <c r="P36" s="17">
        <f>(+N36-H36)/H36</f>
        <v>1.7475866237622175E-2</v>
      </c>
      <c r="Q36" s="15">
        <v>357583.13199999998</v>
      </c>
      <c r="R36" s="17">
        <v>2.8172478448261835E-2</v>
      </c>
      <c r="S36" s="17">
        <f>(+Q36-K36)/K36</f>
        <v>1.0787299848854783</v>
      </c>
      <c r="T36" s="15">
        <v>526379.76299999992</v>
      </c>
      <c r="U36" s="17">
        <f t="shared" si="44"/>
        <v>3.9083089405004198E-2</v>
      </c>
      <c r="V36" s="15">
        <v>548194.07834999997</v>
      </c>
      <c r="W36" s="17">
        <f>+V36/$V$38</f>
        <v>3.9693867661503339E-2</v>
      </c>
      <c r="X36" s="15">
        <v>640968.21600000001</v>
      </c>
      <c r="Y36" s="17">
        <f>+X36/$X$38</f>
        <v>4.3751945689283013E-2</v>
      </c>
      <c r="Z36" s="15">
        <v>839897.01144000003</v>
      </c>
      <c r="AA36" s="17">
        <f>+Z36/$Z$38</f>
        <v>5.6628073910729909E-2</v>
      </c>
      <c r="AB36" s="15">
        <v>1023360.29655</v>
      </c>
      <c r="AC36" s="17">
        <f>+AB36/$AV$38</f>
        <v>4.9218184682561908E-2</v>
      </c>
      <c r="AD36" s="15">
        <v>939420.36565000005</v>
      </c>
      <c r="AE36" s="17">
        <f>+AD36/$AD$38</f>
        <v>5.836477475859856E-2</v>
      </c>
      <c r="AF36" s="15">
        <v>929410.35239999997</v>
      </c>
      <c r="AG36" s="17">
        <f>+AF36/$AF$38</f>
        <v>5.6270517289537053E-2</v>
      </c>
      <c r="AH36" s="15">
        <v>857239.10291999998</v>
      </c>
      <c r="AI36" s="18">
        <f>+AH36/$AH$38</f>
        <v>5.1699654437116341E-2</v>
      </c>
      <c r="AJ36" s="15">
        <v>864563.24448000011</v>
      </c>
      <c r="AK36" s="18">
        <f>+AJ36/$AJ$38</f>
        <v>5.0842799598602322E-2</v>
      </c>
      <c r="AL36" s="15">
        <v>766077.52999999991</v>
      </c>
      <c r="AM36" s="18">
        <f>+AL36/$AL$38</f>
        <v>4.4857038483156433E-2</v>
      </c>
      <c r="AN36" s="15">
        <v>743697.28149609989</v>
      </c>
      <c r="AO36" s="18">
        <f>+AN36/$AN$38</f>
        <v>4.0871485692654599E-2</v>
      </c>
      <c r="AP36" s="15">
        <v>590489.06274239998</v>
      </c>
      <c r="AQ36" s="19">
        <f>+AP36/$AP$38</f>
        <v>3.1882043847394237E-2</v>
      </c>
      <c r="AR36" s="15">
        <v>480432.26639999996</v>
      </c>
      <c r="AS36" s="30">
        <f>+AR36/$AR$38</f>
        <v>2.4628482305054031E-2</v>
      </c>
      <c r="AT36" s="15">
        <v>461128.36116999999</v>
      </c>
      <c r="AU36" s="19">
        <f>+AT36/$AT$38</f>
        <v>2.2987345011714136E-2</v>
      </c>
      <c r="AV36" s="15">
        <v>422139.63239999994</v>
      </c>
      <c r="AW36" s="19">
        <f>+AV36/$AV$38</f>
        <v>2.0302669997396036E-2</v>
      </c>
      <c r="AX36" s="15">
        <v>303714.17787999997</v>
      </c>
      <c r="AY36" s="19">
        <f>+AX36/$AX$38</f>
        <v>1.4820292887464906E-2</v>
      </c>
      <c r="AZ36" s="15">
        <v>321057.37961</v>
      </c>
      <c r="BA36" s="19">
        <f>+AZ36/$AZ$38</f>
        <v>1.5257430763536821E-2</v>
      </c>
      <c r="BB36" s="3">
        <f t="shared" si="1"/>
        <v>5.7103694832621461E-2</v>
      </c>
      <c r="BC36" s="15">
        <v>306921.57941000001</v>
      </c>
      <c r="BD36" s="19">
        <f>+BC36/$BC$38</f>
        <v>1.4561456805321706E-2</v>
      </c>
      <c r="BE36" s="3">
        <f t="shared" si="4"/>
        <v>-4.4028890465533807E-2</v>
      </c>
      <c r="BF36" s="15">
        <v>263794.10794000002</v>
      </c>
      <c r="BG36" s="19">
        <f>+BF36/$BF$38</f>
        <v>1.2615912623403933E-2</v>
      </c>
      <c r="BH36" s="3">
        <f>+(BF36-BC36)/BC36</f>
        <v>-0.14051625680053054</v>
      </c>
      <c r="BI36" s="15">
        <v>238573.72012000001</v>
      </c>
      <c r="BJ36" s="19">
        <f>+BI36/$BI$38</f>
        <v>1.1353205291232989E-2</v>
      </c>
      <c r="BK36" s="3">
        <f>+(BI36-BF36)/BF36</f>
        <v>-9.5606334868314727E-2</v>
      </c>
      <c r="BL36" s="15">
        <v>202606.13919999998</v>
      </c>
      <c r="BM36" s="19">
        <f>+BL36/$BL$38</f>
        <v>9.5059260960221013E-3</v>
      </c>
      <c r="BN36" s="3">
        <f>+(BL36-BI36)/BI36</f>
        <v>-0.15076086713116907</v>
      </c>
      <c r="BO36" s="15">
        <v>188319.92749999999</v>
      </c>
      <c r="BP36" s="19">
        <f>+BO36/$BO$38</f>
        <v>8.6627207671326756E-3</v>
      </c>
      <c r="BQ36" s="3">
        <f>+(BO36-BL36)/BL36</f>
        <v>-7.0512235001415929E-2</v>
      </c>
      <c r="BR36" s="15">
        <v>170285.65400000001</v>
      </c>
      <c r="BS36" s="19">
        <f>+BR36/$BR$38</f>
        <v>7.9951240622124532E-3</v>
      </c>
      <c r="BT36" s="3">
        <f t="shared" si="0"/>
        <v>-9.5764021043391614E-2</v>
      </c>
      <c r="BU36" s="15">
        <v>142182.47252000001</v>
      </c>
      <c r="BV36" s="19">
        <f>+BU36/$BU$38</f>
        <v>6.6992311499829626E-3</v>
      </c>
      <c r="BW36" s="3">
        <f t="shared" ref="BW36" si="57">+(BU36-BR36)/BR36</f>
        <v>-0.16503552013841399</v>
      </c>
      <c r="BX36" s="15">
        <v>120100.7837</v>
      </c>
      <c r="BY36" s="19">
        <f>+BX36/$BX$38</f>
        <v>5.7497066359758105E-3</v>
      </c>
      <c r="BZ36" s="3">
        <f t="shared" ref="BZ36" si="58">+(BX36-BU36)/BU36</f>
        <v>-0.15530528080311659</v>
      </c>
      <c r="CA36" s="15">
        <v>116200.02570999999</v>
      </c>
      <c r="CB36" s="19">
        <f>+CA36/$CA$38</f>
        <v>5.5311530343056326E-3</v>
      </c>
      <c r="CC36" s="3">
        <f t="shared" ref="CC36" si="59">+(CA36-BX36)/BX36</f>
        <v>-3.2479038602643298E-2</v>
      </c>
      <c r="CD36" s="15">
        <v>97864.738060000003</v>
      </c>
      <c r="CE36" s="19">
        <f>+CD36/$CD$38</f>
        <v>4.6141345863372103E-3</v>
      </c>
      <c r="CF36" s="3">
        <f t="shared" ref="CF36" si="60">+(CD36-CA36)/CA36</f>
        <v>-0.15779073660241091</v>
      </c>
      <c r="CG36" s="15">
        <v>93781.419639999993</v>
      </c>
      <c r="CH36" s="19">
        <f>+CG36/$CG$38</f>
        <v>4.3557126541174307E-3</v>
      </c>
      <c r="CI36" s="3">
        <f t="shared" ref="CI36" si="61">+(CG36-CD36)/CD36</f>
        <v>-4.1724103093154594E-2</v>
      </c>
      <c r="CJ36" s="15">
        <v>81822.4758</v>
      </c>
      <c r="CK36" s="19">
        <f>+CJ36/$CJ$38</f>
        <v>3.7472075611827815E-3</v>
      </c>
      <c r="CL36" s="3">
        <f t="shared" ref="CL36" si="62">+(CJ36-CG36)/CG36</f>
        <v>-0.12751933043780903</v>
      </c>
    </row>
    <row r="37" spans="2:90" x14ac:dyDescent="0.35">
      <c r="B37" s="1"/>
      <c r="C37" s="1"/>
      <c r="D37" s="1"/>
      <c r="E37" s="32"/>
      <c r="F37" s="1"/>
      <c r="G37" s="32"/>
      <c r="H37" s="1"/>
      <c r="I37" s="32"/>
      <c r="J37" s="32"/>
      <c r="K37" s="1"/>
      <c r="L37" s="32"/>
      <c r="M37" s="32"/>
      <c r="N37" s="1"/>
      <c r="O37" s="32"/>
      <c r="P37" s="32"/>
      <c r="Q37" s="1"/>
      <c r="R37" s="32"/>
      <c r="S37" s="32"/>
      <c r="T37" s="1"/>
      <c r="U37" s="32"/>
      <c r="V37" s="1"/>
      <c r="W37" s="32"/>
      <c r="X37" s="1"/>
      <c r="Y37" s="32"/>
      <c r="Z37" s="1"/>
      <c r="AA37" s="32"/>
      <c r="AB37" s="1"/>
      <c r="AC37" s="32"/>
      <c r="AD37" s="1"/>
      <c r="AE37" s="32"/>
      <c r="AF37" s="1"/>
      <c r="AG37" s="32"/>
      <c r="AH37" s="33"/>
      <c r="AI37" s="33"/>
      <c r="AJ37" s="33"/>
      <c r="AK37" s="33"/>
      <c r="AL37" s="33"/>
      <c r="AM37" s="33"/>
      <c r="AN37" s="33"/>
      <c r="AO37" s="33"/>
      <c r="AP37" s="33"/>
      <c r="AQ37" s="32"/>
      <c r="AR37" s="33"/>
      <c r="AS37" s="32"/>
      <c r="AT37" s="33"/>
      <c r="AU37" s="32"/>
      <c r="AV37" s="33"/>
      <c r="AW37" s="32"/>
      <c r="AX37" s="33"/>
      <c r="AY37" s="32"/>
      <c r="AZ37" s="33"/>
      <c r="BA37" s="32"/>
      <c r="BB37" s="3"/>
      <c r="BC37" s="33"/>
      <c r="BD37" s="32"/>
      <c r="BE37" s="3"/>
      <c r="BF37" s="33"/>
      <c r="BG37" s="32"/>
      <c r="BH37" s="3"/>
      <c r="BI37" s="33"/>
      <c r="BJ37" s="32"/>
      <c r="BK37" s="3"/>
      <c r="BL37" s="33"/>
      <c r="BM37" s="32"/>
      <c r="BN37" s="3"/>
      <c r="BO37" s="3"/>
      <c r="BP37" s="32"/>
      <c r="BQ37" s="3"/>
      <c r="BR37" s="33"/>
      <c r="BS37" s="32"/>
      <c r="BT37" s="3"/>
      <c r="BU37" s="33"/>
      <c r="BV37" s="32"/>
      <c r="BW37" s="3"/>
      <c r="BX37" s="33"/>
      <c r="BY37" s="32"/>
      <c r="BZ37" s="3"/>
      <c r="CA37" s="33"/>
      <c r="CB37" s="32"/>
      <c r="CC37" s="3"/>
      <c r="CD37" s="33"/>
      <c r="CE37" s="32"/>
      <c r="CF37" s="3"/>
      <c r="CG37" s="33"/>
      <c r="CH37" s="32"/>
      <c r="CI37" s="3"/>
      <c r="CJ37" s="33"/>
      <c r="CK37" s="32"/>
      <c r="CL37" s="3"/>
    </row>
    <row r="38" spans="2:90" x14ac:dyDescent="0.35">
      <c r="B38" s="29" t="s">
        <v>8</v>
      </c>
      <c r="C38" s="1"/>
      <c r="D38" s="34">
        <f t="shared" ref="D38" si="63">+D12+D28+D30+D32+D34+D36</f>
        <v>10623224.77720635</v>
      </c>
      <c r="E38" s="35">
        <v>0.7761656300772517</v>
      </c>
      <c r="F38" s="34">
        <f t="shared" ref="F38" si="64">+F12+F28+F30+F32+F34+F36</f>
        <v>10809706.652823757</v>
      </c>
      <c r="G38" s="35">
        <v>0.77021413344918965</v>
      </c>
      <c r="H38" s="34">
        <f t="shared" ref="H38" si="65">+H12+H28+H30+H32+H34+H36</f>
        <v>11401282.820819741</v>
      </c>
      <c r="I38" s="35">
        <v>0.77807636475106556</v>
      </c>
      <c r="J38" s="16">
        <f t="shared" si="11"/>
        <v>5.4726384997825055E-2</v>
      </c>
      <c r="K38" s="34">
        <f t="shared" ref="K38" si="66">+K12+K28+K30+K32+K34+K36</f>
        <v>11713438.951590981</v>
      </c>
      <c r="L38" s="35">
        <v>0.7781913070973977</v>
      </c>
      <c r="M38" s="16">
        <f t="shared" si="3"/>
        <v>2.7379035822286225E-2</v>
      </c>
      <c r="N38" s="34">
        <f>+N12+N28+N30+N32+N34+N36</f>
        <v>12210630.023283239</v>
      </c>
      <c r="O38" s="35">
        <v>0.78489266430590032</v>
      </c>
      <c r="P38" s="16">
        <f>(+N38-H38)/H38</f>
        <v>7.098738055910335E-2</v>
      </c>
      <c r="Q38" s="34">
        <f>+Q12+Q28+Q30+Q32+Q34+Q36</f>
        <v>12692640.182747638</v>
      </c>
      <c r="R38" s="35">
        <v>0.79000343518901162</v>
      </c>
      <c r="S38" s="16">
        <f>(+Q38-K38)/K38</f>
        <v>8.3596391734611489E-2</v>
      </c>
      <c r="T38" s="34">
        <f>+T12+T28+T30+T32+T34+T36</f>
        <v>13468222.983738903</v>
      </c>
      <c r="U38" s="35">
        <f>+T38/T56</f>
        <v>0.80066000963688988</v>
      </c>
      <c r="V38" s="34">
        <f>+V12+V28+V30+V32+V34+V36</f>
        <v>13810548.345271477</v>
      </c>
      <c r="W38" s="35">
        <f>+V38/V56</f>
        <v>0.80485252124724727</v>
      </c>
      <c r="X38" s="34">
        <f>+X12+X28+X30+X32+X34+X36</f>
        <v>14650050.549797706</v>
      </c>
      <c r="Y38" s="35">
        <f>+X38/X56</f>
        <v>0.80982562133484082</v>
      </c>
      <c r="Z38" s="34">
        <f>+Z12+Z28+Z30+Z32+Z34+Z36</f>
        <v>14831813.152678251</v>
      </c>
      <c r="AA38" s="35">
        <f>+Z38/Z56</f>
        <v>0.79835613617471879</v>
      </c>
      <c r="AB38" s="34">
        <f>+AB12+AB28+AB30+AB32+AB34+AB36</f>
        <v>15759878.073309388</v>
      </c>
      <c r="AC38" s="35">
        <f>+AB38/AB56</f>
        <v>0.81052956863148407</v>
      </c>
      <c r="AD38" s="34">
        <f>+AD12+AD28+AD30+AD32+AD34+AD36</f>
        <v>16095673.623954155</v>
      </c>
      <c r="AE38" s="35">
        <f>+AD38/AD56</f>
        <v>0.81846949478348641</v>
      </c>
      <c r="AF38" s="34">
        <f>+AF12+AF28+AF30+AF32+AF34+AF36</f>
        <v>16516826.167027518</v>
      </c>
      <c r="AG38" s="35">
        <f>+AF38/AF56</f>
        <v>0.82138204128921566</v>
      </c>
      <c r="AH38" s="36">
        <f>+AH12+AH28+AH30+AH32+AH34+AH36</f>
        <v>16581137.964136349</v>
      </c>
      <c r="AI38" s="36">
        <f>+AH38/AH56</f>
        <v>0.78150037966567909</v>
      </c>
      <c r="AJ38" s="36">
        <f>+AJ12+AJ28+AJ30+AJ32+AJ34+AJ36</f>
        <v>17004634.900234077</v>
      </c>
      <c r="AK38" s="36">
        <f>+AJ38/AJ56</f>
        <v>0.78454645147685864</v>
      </c>
      <c r="AL38" s="36">
        <f>+AL12+AL28+AL30+AL32+AL34+AL36</f>
        <v>17078201.234521039</v>
      </c>
      <c r="AM38" s="36">
        <f>+AL38/AL56</f>
        <v>0.7669154069993348</v>
      </c>
      <c r="AN38" s="36">
        <f>+AN12+AN28+AN30+AN32+AN34+AN36</f>
        <v>18195993.340896752</v>
      </c>
      <c r="AO38" s="36">
        <f>+AN38/AN56</f>
        <v>0.7633429906745115</v>
      </c>
      <c r="AP38" s="36">
        <f>+AP12+AP28+AP30+AP32+AP34+AP36</f>
        <v>18521054.220012356</v>
      </c>
      <c r="AQ38" s="37">
        <f>+AP38/AP56</f>
        <v>0.76273102416109084</v>
      </c>
      <c r="AR38" s="36">
        <f>+AR12+AR28+AR30+AR32+AR34+AR36</f>
        <v>19507181.175407227</v>
      </c>
      <c r="AS38" s="37">
        <f>+AR38/AR56</f>
        <v>0.7684810094398542</v>
      </c>
      <c r="AT38" s="36">
        <f>+AT12+AT28+AT30+AT32+AT34+AT36</f>
        <v>20060096.585099902</v>
      </c>
      <c r="AU38" s="37">
        <f>+AT38/AT56</f>
        <v>0.7648733202190009</v>
      </c>
      <c r="AV38" s="36">
        <f>+AV12+AV28+AV30+AV32+AV34+AV36</f>
        <v>20792321.032363843</v>
      </c>
      <c r="AW38" s="37">
        <f>+AV38/AV56</f>
        <v>0.764037536577996</v>
      </c>
      <c r="AX38" s="36">
        <f>+AX12+AX28+AX30+AX32+AX34+AX36</f>
        <v>20493129.264461655</v>
      </c>
      <c r="AY38" s="37">
        <f>+AX38/AX56</f>
        <v>0.75143509758950811</v>
      </c>
      <c r="AZ38" s="36">
        <f>+AZ12+AZ28+AZ30+AZ32+AZ34+AZ36</f>
        <v>21042689.597339243</v>
      </c>
      <c r="BA38" s="37">
        <f>+AZ38/AZ56</f>
        <v>0.73980942975117214</v>
      </c>
      <c r="BB38" s="3">
        <f t="shared" si="1"/>
        <v>2.6816808979515515E-2</v>
      </c>
      <c r="BC38" s="36">
        <f>+BC12+BC28+BC30+BC32+BC34+BC36</f>
        <v>21077669.87282693</v>
      </c>
      <c r="BD38" s="37">
        <f>+BC38/BC56</f>
        <v>0.72897130473769123</v>
      </c>
      <c r="BE38" s="3">
        <f t="shared" si="4"/>
        <v>1.662348119800738E-3</v>
      </c>
      <c r="BF38" s="36">
        <f>+BF12+BF28+BF30+BF32+BF34+BF36</f>
        <v>20909633.398271352</v>
      </c>
      <c r="BG38" s="37">
        <f>+BF38/BF56</f>
        <v>0.74071826186397771</v>
      </c>
      <c r="BH38" s="3">
        <f>+(BF38-BC38)/BC38</f>
        <v>-7.972250992136878E-3</v>
      </c>
      <c r="BI38" s="36">
        <f>+BI12+BI28+BI30+BI32+BI34+BI36</f>
        <v>21013776.638411358</v>
      </c>
      <c r="BJ38" s="37">
        <f>+BI38/BI56</f>
        <v>0.74454831781923603</v>
      </c>
      <c r="BK38" s="3">
        <f>+(BI38-BF38)/BF38</f>
        <v>4.9806344356384414E-3</v>
      </c>
      <c r="BL38" s="36">
        <f>+BL12+BL28+BL30+BL32+BL34+BL36</f>
        <v>21313666.564774115</v>
      </c>
      <c r="BM38" s="37">
        <f>+BL38/BL56</f>
        <v>0.77970141458440434</v>
      </c>
      <c r="BN38" s="3">
        <f>+(BL38-BI38)/BI38</f>
        <v>1.4271110401667824E-2</v>
      </c>
      <c r="BO38" s="36">
        <f>+BO12+BO28+BO30+BO32+BO34+BO36</f>
        <v>21739120.140465189</v>
      </c>
      <c r="BP38" s="37">
        <f>+BO38/BO56</f>
        <v>0.75922782553434065</v>
      </c>
      <c r="BQ38" s="3">
        <f>+(BO38-BL38)/BL38</f>
        <v>1.9961538499163583E-2</v>
      </c>
      <c r="BR38" s="36">
        <f>+BR12+BR28+BR30+BR32+BR34+BR36</f>
        <v>21298688.134787701</v>
      </c>
      <c r="BS38" s="37">
        <f>+BR38/BR56</f>
        <v>0.75440991697454329</v>
      </c>
      <c r="BT38" s="3">
        <f t="shared" si="0"/>
        <v>-2.025988185500055E-2</v>
      </c>
      <c r="BU38" s="36">
        <f>+BU12+BU28+BU30+BU32+BU34+BU36</f>
        <v>21223700.054051965</v>
      </c>
      <c r="BV38" s="37">
        <f>+BU38/BU56</f>
        <v>0.73790043572708952</v>
      </c>
      <c r="BW38" s="3">
        <f>+(BU38-BR38)/BR38</f>
        <v>-3.5207840154838277E-3</v>
      </c>
      <c r="BX38" s="36">
        <f>+BX12+BX28+BX30+BX32+BX34+BX36</f>
        <v>20888158.527694538</v>
      </c>
      <c r="BY38" s="37">
        <f>+BX38/BX56</f>
        <v>0.73381286415927405</v>
      </c>
      <c r="BZ38" s="3">
        <f>+(BX38-BU38)/BU38</f>
        <v>-1.5809756333856909E-2</v>
      </c>
      <c r="CA38" s="36">
        <f>+CA12+CA28+CA30+CA32+CA34+CA36</f>
        <v>21008282.538793914</v>
      </c>
      <c r="CB38" s="37">
        <f>+CA38/CA56</f>
        <v>0.71918098101687999</v>
      </c>
      <c r="CC38" s="3">
        <f>+(CA38-BX38)/BX38</f>
        <v>5.750818624825617E-3</v>
      </c>
      <c r="CD38" s="36">
        <f>+CD12+CD28+CD30+CD32+CD34+CD36</f>
        <v>21209771.026138823</v>
      </c>
      <c r="CE38" s="37">
        <f>+CD38/CD56</f>
        <v>0.72494237710536669</v>
      </c>
      <c r="CF38" s="3">
        <f>+(CD38-CA38)/CA38</f>
        <v>9.5909071563960845E-3</v>
      </c>
      <c r="CG38" s="36">
        <f>+CG12+CG28+CG30+CG32+CG34+CG36</f>
        <v>21530671.806678738</v>
      </c>
      <c r="CH38" s="37">
        <f>+CG38/CG56</f>
        <v>0.73362242051295778</v>
      </c>
      <c r="CI38" s="3">
        <f>+(CG38-CD38)/CD38</f>
        <v>1.5129855958578634E-2</v>
      </c>
      <c r="CJ38" s="36">
        <f>+CJ12+CJ28+CJ30+CJ32+CJ34+CJ36</f>
        <v>21835586.757348791</v>
      </c>
      <c r="CK38" s="37">
        <f>+CJ38/CJ56</f>
        <v>0.73938283634521351</v>
      </c>
      <c r="CL38" s="3">
        <f>+(CJ38-CG38)/CG38</f>
        <v>1.4161887441685344E-2</v>
      </c>
    </row>
    <row r="39" spans="2:90" x14ac:dyDescent="0.35">
      <c r="B39" s="1"/>
      <c r="C39" s="20"/>
      <c r="D39" s="38"/>
      <c r="E39" s="1"/>
      <c r="F39" s="38"/>
      <c r="G39" s="1"/>
      <c r="H39" s="38"/>
      <c r="I39" s="39"/>
      <c r="J39" s="1"/>
      <c r="K39" s="38"/>
      <c r="L39" s="1"/>
      <c r="M39" s="1"/>
      <c r="N39" s="38"/>
      <c r="O39" s="1"/>
      <c r="P39" s="1"/>
      <c r="Q39" s="38"/>
      <c r="R39" s="1"/>
      <c r="S39" s="16"/>
      <c r="T39" s="38"/>
      <c r="U39" s="1"/>
      <c r="V39" s="38"/>
      <c r="W39" s="1"/>
      <c r="X39" s="38"/>
      <c r="Y39" s="1"/>
      <c r="Z39" s="38"/>
      <c r="AA39" s="1"/>
      <c r="AB39" s="38"/>
      <c r="AC39" s="1"/>
      <c r="AD39" s="38"/>
      <c r="AE39" s="1"/>
      <c r="AF39" s="38"/>
      <c r="AG39" s="1"/>
      <c r="AH39" s="15"/>
      <c r="AI39" s="15"/>
      <c r="AJ39" s="15"/>
      <c r="AK39" s="15"/>
      <c r="AL39" s="15"/>
      <c r="AM39" s="15"/>
      <c r="AN39" s="15"/>
      <c r="AO39" s="15"/>
      <c r="AP39" s="15"/>
      <c r="AQ39" s="2"/>
      <c r="AR39" s="15"/>
      <c r="AS39" s="2"/>
      <c r="AT39" s="15"/>
      <c r="AU39" s="2"/>
      <c r="AV39" s="15"/>
      <c r="AW39" s="2"/>
      <c r="AX39" s="15"/>
      <c r="AY39" s="2"/>
      <c r="AZ39" s="15"/>
      <c r="BA39" s="2"/>
      <c r="BB39" s="3"/>
      <c r="BC39" s="15"/>
      <c r="BD39" s="2"/>
      <c r="BE39" s="3"/>
      <c r="BF39" s="15"/>
      <c r="BG39" s="2"/>
      <c r="BH39" s="3"/>
      <c r="BI39" s="15"/>
      <c r="BJ39" s="2"/>
      <c r="BK39" s="3"/>
      <c r="BL39" s="15"/>
      <c r="BM39" s="2"/>
      <c r="BN39" s="3"/>
      <c r="BO39" s="3"/>
      <c r="BP39" s="2"/>
      <c r="BQ39" s="3"/>
      <c r="BR39" s="15"/>
      <c r="BS39" s="2"/>
      <c r="BT39" s="3"/>
      <c r="BU39" s="15"/>
      <c r="BV39" s="2"/>
      <c r="BW39" s="3"/>
      <c r="BX39" s="15"/>
      <c r="BY39" s="2"/>
      <c r="BZ39" s="3"/>
      <c r="CA39" s="15"/>
      <c r="CB39" s="2"/>
      <c r="CC39" s="3"/>
      <c r="CD39" s="15"/>
      <c r="CE39" s="2"/>
      <c r="CF39" s="3"/>
      <c r="CG39" s="15"/>
      <c r="CH39" s="2"/>
      <c r="CI39" s="3"/>
      <c r="CJ39" s="15">
        <f>+CJ38-'[1]Saldo de Deuda'!$BD$11</f>
        <v>0</v>
      </c>
      <c r="CK39" s="2"/>
      <c r="CL39" s="3"/>
    </row>
    <row r="40" spans="2:90" x14ac:dyDescent="0.35">
      <c r="B40" s="1"/>
      <c r="C40" s="2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6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5"/>
      <c r="AI40" s="15"/>
      <c r="AJ40" s="15"/>
      <c r="AK40" s="15"/>
      <c r="AL40" s="15"/>
      <c r="AM40" s="15"/>
      <c r="AN40" s="15"/>
      <c r="AO40" s="15"/>
      <c r="AP40" s="15"/>
      <c r="AQ40" s="2"/>
      <c r="AR40" s="15"/>
      <c r="AS40" s="2"/>
      <c r="AT40" s="15"/>
      <c r="AU40" s="2"/>
      <c r="AV40" s="15"/>
      <c r="AW40" s="2"/>
      <c r="AX40" s="15"/>
      <c r="AY40" s="2"/>
      <c r="AZ40" s="15"/>
      <c r="BA40" s="2"/>
      <c r="BB40" s="3"/>
      <c r="BC40" s="15"/>
      <c r="BD40" s="2"/>
      <c r="BE40" s="3"/>
      <c r="BF40" s="15"/>
      <c r="BG40" s="2"/>
      <c r="BH40" s="3"/>
      <c r="BI40" s="15"/>
      <c r="BJ40" s="2"/>
      <c r="BK40" s="3"/>
      <c r="BL40" s="15"/>
      <c r="BM40" s="2"/>
      <c r="BN40" s="3"/>
      <c r="BO40" s="3"/>
      <c r="BP40" s="2"/>
      <c r="BQ40" s="3"/>
      <c r="BR40" s="15"/>
      <c r="BS40" s="2"/>
      <c r="BT40" s="3"/>
      <c r="BU40" s="15"/>
      <c r="BV40" s="2"/>
      <c r="BW40" s="3"/>
      <c r="BX40" s="15"/>
      <c r="BY40" s="2"/>
      <c r="BZ40" s="3"/>
      <c r="CA40" s="15"/>
      <c r="CB40" s="2"/>
      <c r="CC40" s="3"/>
      <c r="CD40" s="15"/>
      <c r="CE40" s="2"/>
      <c r="CF40" s="3"/>
      <c r="CG40" s="15"/>
      <c r="CH40" s="2"/>
      <c r="CI40" s="3"/>
      <c r="CJ40" s="15"/>
      <c r="CK40" s="2"/>
      <c r="CL40" s="3"/>
    </row>
    <row r="41" spans="2:90" x14ac:dyDescent="0.35">
      <c r="B41" s="1"/>
      <c r="C41" s="12" t="s">
        <v>9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40"/>
      <c r="O41" s="1"/>
      <c r="P41" s="1"/>
      <c r="Q41" s="40"/>
      <c r="R41" s="1"/>
      <c r="S41" s="16"/>
      <c r="T41" s="40"/>
      <c r="U41" s="1"/>
      <c r="V41" s="40"/>
      <c r="W41" s="1"/>
      <c r="X41" s="40"/>
      <c r="Y41" s="1"/>
      <c r="Z41" s="40"/>
      <c r="AA41" s="1"/>
      <c r="AB41" s="40"/>
      <c r="AC41" s="1"/>
      <c r="AD41" s="40"/>
      <c r="AE41" s="1"/>
      <c r="AF41" s="40"/>
      <c r="AG41" s="1"/>
      <c r="AH41" s="15"/>
      <c r="AI41" s="15"/>
      <c r="AJ41" s="15"/>
      <c r="AK41" s="15"/>
      <c r="AL41" s="15"/>
      <c r="AM41" s="15"/>
      <c r="AN41" s="15"/>
      <c r="AO41" s="15"/>
      <c r="AP41" s="15"/>
      <c r="AQ41" s="2"/>
      <c r="AR41" s="15"/>
      <c r="AS41" s="2"/>
      <c r="AT41" s="15"/>
      <c r="AU41" s="2"/>
      <c r="AV41" s="15"/>
      <c r="AW41" s="2"/>
      <c r="AX41" s="15"/>
      <c r="AY41" s="2"/>
      <c r="AZ41" s="15"/>
      <c r="BA41" s="2"/>
      <c r="BB41" s="3"/>
      <c r="BC41" s="15"/>
      <c r="BD41" s="2"/>
      <c r="BE41" s="3"/>
      <c r="BF41" s="15"/>
      <c r="BG41" s="2"/>
      <c r="BH41" s="3"/>
      <c r="BI41" s="15"/>
      <c r="BJ41" s="2"/>
      <c r="BK41" s="3"/>
      <c r="BL41" s="15"/>
      <c r="BM41" s="2"/>
      <c r="BN41" s="3"/>
      <c r="BO41" s="3"/>
      <c r="BP41" s="2"/>
      <c r="BQ41" s="3"/>
      <c r="BR41" s="15"/>
      <c r="BS41" s="2"/>
      <c r="BT41" s="3"/>
      <c r="BU41" s="15"/>
      <c r="BV41" s="2"/>
      <c r="BW41" s="3"/>
      <c r="BX41" s="15"/>
      <c r="BY41" s="2"/>
      <c r="BZ41" s="3"/>
      <c r="CA41" s="15"/>
      <c r="CB41" s="2"/>
      <c r="CC41" s="3"/>
      <c r="CD41" s="15"/>
      <c r="CE41" s="2"/>
      <c r="CF41" s="3"/>
      <c r="CG41" s="15"/>
      <c r="CH41" s="2"/>
      <c r="CI41" s="3"/>
      <c r="CJ41" s="15"/>
      <c r="CK41" s="2"/>
      <c r="CL41" s="3"/>
    </row>
    <row r="42" spans="2:90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6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5"/>
      <c r="AI42" s="15"/>
      <c r="AJ42" s="15"/>
      <c r="AK42" s="15"/>
      <c r="AL42" s="15"/>
      <c r="AM42" s="15"/>
      <c r="AN42" s="15"/>
      <c r="AO42" s="15"/>
      <c r="AP42" s="15"/>
      <c r="AQ42" s="2"/>
      <c r="AR42" s="15"/>
      <c r="AS42" s="2"/>
      <c r="AT42" s="15"/>
      <c r="AU42" s="2"/>
      <c r="AV42" s="15"/>
      <c r="AW42" s="2"/>
      <c r="AX42" s="15"/>
      <c r="AY42" s="2"/>
      <c r="AZ42" s="15"/>
      <c r="BA42" s="2"/>
      <c r="BB42" s="3"/>
      <c r="BC42" s="15"/>
      <c r="BD42" s="2"/>
      <c r="BE42" s="3"/>
      <c r="BF42" s="15"/>
      <c r="BG42" s="2"/>
      <c r="BH42" s="3"/>
      <c r="BI42" s="15"/>
      <c r="BJ42" s="2"/>
      <c r="BK42" s="3"/>
      <c r="BL42" s="15"/>
      <c r="BM42" s="2"/>
      <c r="BN42" s="3"/>
      <c r="BO42" s="3"/>
      <c r="BP42" s="2"/>
      <c r="BQ42" s="3"/>
      <c r="BR42" s="15"/>
      <c r="BS42" s="2"/>
      <c r="BT42" s="3"/>
      <c r="BU42" s="15"/>
      <c r="BV42" s="2"/>
      <c r="BW42" s="3"/>
      <c r="BX42" s="15"/>
      <c r="BY42" s="2"/>
      <c r="BZ42" s="3"/>
      <c r="CA42" s="15"/>
      <c r="CB42" s="2"/>
      <c r="CC42" s="3"/>
      <c r="CD42" s="15"/>
      <c r="CE42" s="2"/>
      <c r="CF42" s="3"/>
      <c r="CG42" s="15"/>
      <c r="CH42" s="2"/>
      <c r="CI42" s="3"/>
      <c r="CJ42" s="15"/>
      <c r="CK42" s="2"/>
      <c r="CL42" s="3"/>
    </row>
    <row r="43" spans="2:90" x14ac:dyDescent="0.35">
      <c r="B43" s="100" t="s">
        <v>1</v>
      </c>
      <c r="C43" s="100"/>
      <c r="D43" s="40">
        <f>+D46+D45</f>
        <v>87800.770720000102</v>
      </c>
      <c r="E43" s="2">
        <v>2.865956480531788E-2</v>
      </c>
      <c r="F43" s="40">
        <f>+F46+F45</f>
        <v>119060.74399000443</v>
      </c>
      <c r="G43" s="2">
        <v>3.6918398578606286E-2</v>
      </c>
      <c r="H43" s="40">
        <f>+H46+H45</f>
        <v>101314.57381999999</v>
      </c>
      <c r="I43" s="2">
        <v>3.1155653727666946E-2</v>
      </c>
      <c r="J43" s="16">
        <f t="shared" ref="J43" si="67">(+H43-F43)/F43</f>
        <v>-0.14905139658369923</v>
      </c>
      <c r="K43" s="40">
        <f>+K46+K45</f>
        <v>98504.959399999992</v>
      </c>
      <c r="L43" s="2">
        <v>2.9504040157514247E-2</v>
      </c>
      <c r="M43" s="16">
        <f>(+K43-H43)/F43</f>
        <v>-2.3598159442342097E-2</v>
      </c>
      <c r="N43" s="40">
        <f>+N46+N45</f>
        <v>89591.592551557551</v>
      </c>
      <c r="O43" s="2">
        <v>2.677221062118134E-2</v>
      </c>
      <c r="P43" s="16">
        <f>(+N43-H43)/H43</f>
        <v>-0.11570873593437814</v>
      </c>
      <c r="Q43" s="40">
        <f>+Q46+Q45</f>
        <v>90350.011017343553</v>
      </c>
      <c r="R43" s="2">
        <v>2.6778918314843761E-2</v>
      </c>
      <c r="S43" s="16">
        <f>(+Q43-K43)/K43</f>
        <v>-8.2787185866871588E-2</v>
      </c>
      <c r="T43" s="40">
        <f>+T46+T45</f>
        <v>92111.879757726841</v>
      </c>
      <c r="U43" s="2">
        <f>+T43/T54</f>
        <v>2.7470024808051829E-2</v>
      </c>
      <c r="V43" s="40">
        <f>+V46+V45</f>
        <v>92201.433427042502</v>
      </c>
      <c r="W43" s="2">
        <f>+V43/V54</f>
        <v>2.753468513468384E-2</v>
      </c>
      <c r="X43" s="40">
        <f>+X46+X45</f>
        <v>92829.135999999999</v>
      </c>
      <c r="Y43" s="2">
        <f>+X43/X54</f>
        <v>2.6982655712227983E-2</v>
      </c>
      <c r="Z43" s="40">
        <f>+Z46+Z45</f>
        <v>96456.537398966029</v>
      </c>
      <c r="AA43" s="2">
        <f>+Z43/Z54</f>
        <v>2.5748330727093312E-2</v>
      </c>
      <c r="AB43" s="40">
        <f>+AB46+AB45</f>
        <v>94313.862889999989</v>
      </c>
      <c r="AC43" s="2">
        <f>+AB43/AB54</f>
        <v>2.5600597329536932E-2</v>
      </c>
      <c r="AD43" s="40">
        <f>+AD46+AD45</f>
        <v>89633.032650000008</v>
      </c>
      <c r="AE43" s="2">
        <f>+AD43/AD54</f>
        <v>2.5107982342540729E-2</v>
      </c>
      <c r="AF43" s="40">
        <f>+AF46+AF45</f>
        <v>113414.22279999999</v>
      </c>
      <c r="AG43" s="2">
        <f>+AF43/AF54</f>
        <v>3.157628289871188E-2</v>
      </c>
      <c r="AH43" s="15">
        <f>+AH46+AH45</f>
        <v>210327.78925</v>
      </c>
      <c r="AI43" s="15">
        <f>+AH43/AH54</f>
        <v>4.5369169642931084E-2</v>
      </c>
      <c r="AJ43" s="15">
        <f>+AJ46+AJ45</f>
        <v>212451.12700000004</v>
      </c>
      <c r="AK43" s="15">
        <f>+AJ43/AJ54</f>
        <v>4.549427396051358E-2</v>
      </c>
      <c r="AL43" s="15">
        <f>+AL46+AL45</f>
        <v>375171.8309182747</v>
      </c>
      <c r="AM43" s="15">
        <f>+AL43/AL54</f>
        <v>7.2280640344367167E-2</v>
      </c>
      <c r="AN43" s="15">
        <f>+AN46+AN45</f>
        <v>317958.99883565068</v>
      </c>
      <c r="AO43" s="15">
        <f>+AN43/AN54</f>
        <v>5.6363207746650462E-2</v>
      </c>
      <c r="AP43" s="15">
        <f>+AP46+AP45</f>
        <v>306842.43682213669</v>
      </c>
      <c r="AQ43" s="2">
        <f>+AP43/AP54</f>
        <v>5.3257426419923717E-2</v>
      </c>
      <c r="AR43" s="15">
        <f>+AR46+AR45</f>
        <v>306242.88045208319</v>
      </c>
      <c r="AS43" s="2">
        <f>+AR43/AR54</f>
        <v>5.210963161656295E-2</v>
      </c>
      <c r="AT43" s="15">
        <f>+AT46+AT45</f>
        <v>265088.07951443107</v>
      </c>
      <c r="AU43" s="2">
        <f>+AT43/AT54</f>
        <v>4.2987756508303804E-2</v>
      </c>
      <c r="AV43" s="15">
        <f>+AV46+AV45</f>
        <v>349452.94900000002</v>
      </c>
      <c r="AW43" s="2">
        <f>+AV43/AV54</f>
        <v>5.4419871494323944E-2</v>
      </c>
      <c r="AX43" s="15">
        <f>+AX46+AX45</f>
        <v>476200.59061230393</v>
      </c>
      <c r="AY43" s="2">
        <f>+AX43/AX54</f>
        <v>7.0247895866244317E-2</v>
      </c>
      <c r="AZ43" s="15">
        <f>+AZ46+AZ45</f>
        <v>797115.94694240857</v>
      </c>
      <c r="BA43" s="2">
        <f>+AZ43/AZ54</f>
        <v>0.10770814799015105</v>
      </c>
      <c r="BB43" s="3">
        <f t="shared" si="1"/>
        <v>0.67390793429606666</v>
      </c>
      <c r="BC43" s="15">
        <f>+BC46+BC45</f>
        <v>1299260.7857715946</v>
      </c>
      <c r="BD43" s="2">
        <f>+BC43/BC54</f>
        <v>0.1657940311999434</v>
      </c>
      <c r="BE43" s="3">
        <f t="shared" si="4"/>
        <v>0.6299520675195649</v>
      </c>
      <c r="BF43" s="15">
        <f>+BF46+BF45</f>
        <v>1487898.3086961887</v>
      </c>
      <c r="BG43" s="2">
        <f>+BF43/BF54</f>
        <v>0.20328622641276348</v>
      </c>
      <c r="BH43" s="3">
        <f>+(BF43-BC43)/BC43</f>
        <v>0.1451883447806574</v>
      </c>
      <c r="BI43" s="15">
        <f>+BI46+BI45</f>
        <v>1020612.022585289</v>
      </c>
      <c r="BJ43" s="2">
        <f>+BI43/BI54</f>
        <v>0.14156004370789618</v>
      </c>
      <c r="BK43" s="3">
        <f>+(BI43-BF43)/BF43</f>
        <v>-0.31405794561348216</v>
      </c>
      <c r="BL43" s="15">
        <f>+BL46+BL45</f>
        <v>665674.18876583898</v>
      </c>
      <c r="BM43" s="2">
        <f>+BL43/BL54</f>
        <v>0.11054017914364979</v>
      </c>
      <c r="BN43" s="3">
        <f>+(BL43-BI43)/BI43</f>
        <v>-0.3477695989905793</v>
      </c>
      <c r="BO43" s="15">
        <f>+BO46+BO45</f>
        <v>1300829.2347388947</v>
      </c>
      <c r="BP43" s="2">
        <f>+BO43/BO54</f>
        <v>0.18868794192290012</v>
      </c>
      <c r="BQ43" s="3">
        <f>+(BO43-BL43)/BL43</f>
        <v>0.95415303265796481</v>
      </c>
      <c r="BR43" s="15">
        <f>+BR46+BR45</f>
        <v>1232157.1215822876</v>
      </c>
      <c r="BS43" s="2">
        <f>+BR43/BR54</f>
        <v>0.17770915418450442</v>
      </c>
      <c r="BT43" s="3">
        <f t="shared" ref="BT43:BT46" si="68">+(BR43-BO43)/BO43</f>
        <v>-5.27910284630028E-2</v>
      </c>
      <c r="BU43" s="15">
        <f>+BU46+BU45</f>
        <v>1108245.3138360633</v>
      </c>
      <c r="BV43" s="2">
        <f>+BU43/BU54</f>
        <v>0.14700979504499137</v>
      </c>
      <c r="BW43" s="3">
        <f>+(BU43-BR43)/BR43</f>
        <v>-0.10056494060359907</v>
      </c>
      <c r="BX43" s="15">
        <f>+BX46+BX45</f>
        <v>1020339.5789359232</v>
      </c>
      <c r="BY43" s="2">
        <f>+BX43/BX54</f>
        <v>0.13466131031792844</v>
      </c>
      <c r="BZ43" s="3">
        <f>+(BX43-BU43)/BU43</f>
        <v>-7.9319744286456342E-2</v>
      </c>
      <c r="CA43" s="15">
        <f>+CA46+CA45</f>
        <v>794521.69203464151</v>
      </c>
      <c r="CB43" s="2">
        <f>+CA43/CA54</f>
        <v>9.6856079350728097E-2</v>
      </c>
      <c r="CC43" s="3">
        <f>+(CA43-BX43)/BX43</f>
        <v>-0.2213164044236913</v>
      </c>
      <c r="CD43" s="15">
        <f>+CD46+CD45</f>
        <v>1047991.6540776459</v>
      </c>
      <c r="CE43" s="2">
        <f>+CD43/CD54</f>
        <v>0.13022718296968047</v>
      </c>
      <c r="CF43" s="3">
        <f>+(CD43-CA43)/CA43</f>
        <v>0.31902207904973467</v>
      </c>
      <c r="CG43" s="15">
        <f>+CG46+CG45</f>
        <v>1083715.79366837</v>
      </c>
      <c r="CH43" s="2">
        <f>+CG43/CG54</f>
        <v>0.13862218782170746</v>
      </c>
      <c r="CI43" s="3">
        <f>+(CG43-CD43)/CD43</f>
        <v>3.4088190923777462E-2</v>
      </c>
      <c r="CJ43" s="15">
        <f>+CJ46+CJ45</f>
        <v>524085.77841762011</v>
      </c>
      <c r="CK43" s="2">
        <f>+CJ43/CJ54</f>
        <v>6.8093218042529172E-2</v>
      </c>
      <c r="CL43" s="3">
        <f>+(CJ43-CG43)/CG43</f>
        <v>-0.51639924279077487</v>
      </c>
    </row>
    <row r="44" spans="2:90" x14ac:dyDescent="0.35">
      <c r="B44" s="101" t="s">
        <v>2</v>
      </c>
      <c r="C44" s="10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6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5"/>
      <c r="AI44" s="15"/>
      <c r="AJ44" s="15"/>
      <c r="AK44" s="15"/>
      <c r="AL44" s="15"/>
      <c r="AM44" s="15"/>
      <c r="AN44" s="15"/>
      <c r="AO44" s="15"/>
      <c r="AP44" s="15"/>
      <c r="AQ44" s="2"/>
      <c r="AR44" s="15"/>
      <c r="AS44" s="2"/>
      <c r="AT44" s="15"/>
      <c r="AU44" s="2"/>
      <c r="AV44" s="15"/>
      <c r="AW44" s="2"/>
      <c r="AX44" s="15"/>
      <c r="AY44" s="2"/>
      <c r="AZ44" s="15"/>
      <c r="BA44" s="2"/>
      <c r="BB44" s="3"/>
      <c r="BC44" s="15"/>
      <c r="BD44" s="2"/>
      <c r="BE44" s="3"/>
      <c r="BF44" s="15"/>
      <c r="BG44" s="2"/>
      <c r="BH44" s="3"/>
      <c r="BI44" s="15"/>
      <c r="BJ44" s="2"/>
      <c r="BK44" s="3"/>
      <c r="BL44" s="15"/>
      <c r="BM44" s="2"/>
      <c r="BN44" s="3"/>
      <c r="BO44" s="3"/>
      <c r="BP44" s="2"/>
      <c r="BQ44" s="3"/>
      <c r="BR44" s="15"/>
      <c r="BS44" s="2"/>
      <c r="BT44" s="3"/>
      <c r="BU44" s="15"/>
      <c r="BV44" s="2"/>
      <c r="BW44" s="3"/>
      <c r="BX44" s="15"/>
      <c r="BY44" s="2"/>
      <c r="BZ44" s="3"/>
      <c r="CA44" s="15"/>
      <c r="CB44" s="2"/>
      <c r="CC44" s="3"/>
      <c r="CD44" s="15"/>
      <c r="CE44" s="2"/>
      <c r="CF44" s="3"/>
      <c r="CG44" s="15"/>
      <c r="CH44" s="2"/>
      <c r="CI44" s="3"/>
      <c r="CJ44" s="15"/>
      <c r="CK44" s="2"/>
      <c r="CL44" s="3"/>
    </row>
    <row r="45" spans="2:90" x14ac:dyDescent="0.35">
      <c r="B45" s="14"/>
      <c r="C45" s="23" t="s">
        <v>3</v>
      </c>
      <c r="D45" s="40">
        <v>25338.239200000029</v>
      </c>
      <c r="E45" s="2">
        <v>0.28858789042757504</v>
      </c>
      <c r="F45" s="40">
        <v>43350.310115204411</v>
      </c>
      <c r="G45" s="2">
        <v>0.36410246284740017</v>
      </c>
      <c r="H45" s="40">
        <v>25736.729950000001</v>
      </c>
      <c r="I45" s="2">
        <v>0.2540279150334781</v>
      </c>
      <c r="J45" s="16">
        <f t="shared" ref="J45:J46" si="69">(+H45-F45)/F45</f>
        <v>-0.40630805450747481</v>
      </c>
      <c r="K45" s="40">
        <v>35504.354599999999</v>
      </c>
      <c r="L45" s="2">
        <v>0.36043215302315024</v>
      </c>
      <c r="M45" s="16">
        <f>(+K45-H45)/F45</f>
        <v>0.22531844925774044</v>
      </c>
      <c r="N45" s="40">
        <v>23988.792800000003</v>
      </c>
      <c r="O45" s="2">
        <v>0.26775718699491918</v>
      </c>
      <c r="P45" s="16">
        <f t="shared" ref="P45:P46" si="70">(+N45-H45)/H45</f>
        <v>-6.791605434706742E-2</v>
      </c>
      <c r="Q45" s="40">
        <v>23912.088349999998</v>
      </c>
      <c r="R45" s="2">
        <v>0.26466060248083251</v>
      </c>
      <c r="S45" s="16">
        <f>(+Q45-K45)/K45</f>
        <v>-0.32650266088768731</v>
      </c>
      <c r="T45" s="40">
        <v>23121.895533016799</v>
      </c>
      <c r="U45" s="2">
        <f>+T45/T43</f>
        <v>0.25101969033562371</v>
      </c>
      <c r="V45" s="40">
        <v>25144.480927042496</v>
      </c>
      <c r="W45" s="2">
        <f>+V45/V43</f>
        <v>0.27271247303263363</v>
      </c>
      <c r="X45" s="40">
        <v>24711.96</v>
      </c>
      <c r="Y45" s="2">
        <f>+X45/X43</f>
        <v>0.26620909193854825</v>
      </c>
      <c r="Z45" s="40">
        <v>27520.383750000001</v>
      </c>
      <c r="AA45" s="2">
        <f>+Z45/Z43</f>
        <v>0.28531382622796708</v>
      </c>
      <c r="AB45" s="40">
        <v>27888.936539999999</v>
      </c>
      <c r="AC45" s="2">
        <f>+AB45/AB43</f>
        <v>0.29570347015186288</v>
      </c>
      <c r="AD45" s="40">
        <v>26092.207350000001</v>
      </c>
      <c r="AE45" s="2">
        <f>+AD45/AD43</f>
        <v>0.29110035194151157</v>
      </c>
      <c r="AF45" s="40">
        <v>37644.163599999993</v>
      </c>
      <c r="AG45" s="2">
        <f>+AF45/AF43</f>
        <v>0.33191748504403629</v>
      </c>
      <c r="AH45" s="15">
        <v>63812.668389999999</v>
      </c>
      <c r="AI45" s="15">
        <f>+AH45/AH43</f>
        <v>0.3033962778648851</v>
      </c>
      <c r="AJ45" s="15">
        <v>64456.881160000012</v>
      </c>
      <c r="AK45" s="15">
        <f>+AJ45/AJ43</f>
        <v>0.30339627786488516</v>
      </c>
      <c r="AL45" s="15">
        <v>107512.64946</v>
      </c>
      <c r="AM45" s="15">
        <f>+AL45/AL43</f>
        <v>0.28656908808118897</v>
      </c>
      <c r="AN45" s="15">
        <v>97037.162732227196</v>
      </c>
      <c r="AO45" s="15">
        <f>+AN45/AN43</f>
        <v>0.30518765969062756</v>
      </c>
      <c r="AP45" s="15">
        <v>104972.58668000001</v>
      </c>
      <c r="AQ45" s="2">
        <f>+AP45/AP43</f>
        <v>0.34210583049452215</v>
      </c>
      <c r="AR45" s="15">
        <v>75605.738827977606</v>
      </c>
      <c r="AS45" s="2">
        <f>+AR45/AR43</f>
        <v>0.24688162126860411</v>
      </c>
      <c r="AT45" s="15">
        <v>70048.951910000003</v>
      </c>
      <c r="AU45" s="2">
        <f>+AT45/AT43</f>
        <v>0.26424783807069163</v>
      </c>
      <c r="AV45" s="15">
        <v>49387.209000000003</v>
      </c>
      <c r="AW45" s="2">
        <f>+AV45/AV43</f>
        <v>0.14132720625574116</v>
      </c>
      <c r="AX45" s="15">
        <v>62260.900799999996</v>
      </c>
      <c r="AY45" s="2">
        <f>+AX45/AX43</f>
        <v>0.13074511461639357</v>
      </c>
      <c r="AZ45" s="15">
        <v>74827.526510000011</v>
      </c>
      <c r="BA45" s="2">
        <f>+AZ45/AZ43</f>
        <v>9.3872825900704601E-2</v>
      </c>
      <c r="BB45" s="3">
        <f t="shared" si="1"/>
        <v>0.20183816084459888</v>
      </c>
      <c r="BC45" s="15">
        <v>46958.750909999995</v>
      </c>
      <c r="BD45" s="2">
        <f>+BC45/BC43</f>
        <v>3.6142667757121993E-2</v>
      </c>
      <c r="BE45" s="3">
        <f t="shared" si="4"/>
        <v>-0.37244015537885794</v>
      </c>
      <c r="BF45" s="15">
        <v>117057.01392</v>
      </c>
      <c r="BG45" s="2">
        <f>+BF45/BF43</f>
        <v>7.8672724631681568E-2</v>
      </c>
      <c r="BH45" s="3">
        <f>+(BF45-BC45)/BC45</f>
        <v>1.492762512877496</v>
      </c>
      <c r="BI45" s="15">
        <v>108790.79975999999</v>
      </c>
      <c r="BJ45" s="2">
        <f>+BI45/BI43</f>
        <v>0.10659368825033484</v>
      </c>
      <c r="BK45" s="3">
        <f>+(BI45-BF45)/BF45</f>
        <v>-7.0616991525594211E-2</v>
      </c>
      <c r="BL45" s="15">
        <v>61475.5265</v>
      </c>
      <c r="BM45" s="2">
        <f>+BL45/BL43</f>
        <v>9.2350773903335098E-2</v>
      </c>
      <c r="BN45" s="3">
        <f>+(BL45-BI45)/BI45</f>
        <v>-0.4349198035530647</v>
      </c>
      <c r="BO45" s="15">
        <v>89702.213520000005</v>
      </c>
      <c r="BP45" s="2">
        <f>+BO45/BO43</f>
        <v>6.8957716450772436E-2</v>
      </c>
      <c r="BQ45" s="3">
        <f>+(BO45-BL45)/BL45</f>
        <v>0.45915323750826281</v>
      </c>
      <c r="BR45" s="15">
        <v>97317.939219000007</v>
      </c>
      <c r="BS45" s="2">
        <f>+BR45/BR43</f>
        <v>7.8981760941354742E-2</v>
      </c>
      <c r="BT45" s="3">
        <f t="shared" si="68"/>
        <v>8.4900086632778579E-2</v>
      </c>
      <c r="BU45" s="15">
        <v>93563.398826356017</v>
      </c>
      <c r="BV45" s="2">
        <f>+BU45/BU43</f>
        <v>8.4424808892263309E-2</v>
      </c>
      <c r="BW45" s="3">
        <f t="shared" ref="BW45:BW46" si="71">+(BU45-BR45)/BR45</f>
        <v>-3.8580146916129592E-2</v>
      </c>
      <c r="BX45" s="15">
        <v>99796.99861580001</v>
      </c>
      <c r="BY45" s="2">
        <f>+BX45/BX43</f>
        <v>9.7807632552953438E-2</v>
      </c>
      <c r="BZ45" s="3">
        <f t="shared" ref="BZ45:BZ46" si="72">+(BX45-BU45)/BU45</f>
        <v>6.6624341009809934E-2</v>
      </c>
      <c r="CA45" s="15">
        <v>108674.22448</v>
      </c>
      <c r="CB45" s="2">
        <f>+CA45/CA43</f>
        <v>0.13677943040384824</v>
      </c>
      <c r="CC45" s="3">
        <f t="shared" ref="CC45" si="73">+(CA45-BX45)/BX45</f>
        <v>8.8952834126561978E-2</v>
      </c>
      <c r="CD45" s="15">
        <v>101302.84262</v>
      </c>
      <c r="CE45" s="2">
        <f>+CD45/CD43</f>
        <v>9.6663787565329645E-2</v>
      </c>
      <c r="CF45" s="3">
        <f t="shared" ref="CF45" si="74">+(CD45-CA45)/CA45</f>
        <v>-6.7830084781112104E-2</v>
      </c>
      <c r="CG45" s="15">
        <v>108304.71231</v>
      </c>
      <c r="CH45" s="2">
        <f>+CG45/CG43</f>
        <v>9.9938298346090679E-2</v>
      </c>
      <c r="CI45" s="3">
        <f t="shared" ref="CI45" si="75">+(CG45-CD45)/CD45</f>
        <v>6.9118195589682727E-2</v>
      </c>
      <c r="CJ45" s="15">
        <v>104200.8355</v>
      </c>
      <c r="CK45" s="2">
        <f>+CJ45/CJ43</f>
        <v>0.19882400895253277</v>
      </c>
      <c r="CL45" s="3">
        <f t="shared" ref="CL45" si="76">+(CJ45-CG45)/CG45</f>
        <v>-3.789195061294745E-2</v>
      </c>
    </row>
    <row r="46" spans="2:90" x14ac:dyDescent="0.35">
      <c r="B46" s="1"/>
      <c r="C46" s="23" t="s">
        <v>4</v>
      </c>
      <c r="D46" s="40">
        <v>62462.53152000007</v>
      </c>
      <c r="E46" s="2">
        <v>0.71141210957242496</v>
      </c>
      <c r="F46" s="40">
        <v>75710.433874800015</v>
      </c>
      <c r="G46" s="2">
        <v>0.63589753715259978</v>
      </c>
      <c r="H46" s="40">
        <v>75577.843869999997</v>
      </c>
      <c r="I46" s="2">
        <v>0.74597208496652201</v>
      </c>
      <c r="J46" s="16">
        <f t="shared" si="69"/>
        <v>-1.7512778360150262E-3</v>
      </c>
      <c r="K46" s="40">
        <v>63000.604800000001</v>
      </c>
      <c r="L46" s="2">
        <v>0.63956784697684987</v>
      </c>
      <c r="M46" s="16">
        <f>(+K46-H46)/F46</f>
        <v>-0.16612292951323704</v>
      </c>
      <c r="N46" s="40">
        <v>65602.799751557541</v>
      </c>
      <c r="O46" s="2">
        <v>0.73224281300508076</v>
      </c>
      <c r="P46" s="16">
        <f t="shared" si="70"/>
        <v>-0.13198370855353242</v>
      </c>
      <c r="Q46" s="40">
        <v>66437.922667343548</v>
      </c>
      <c r="R46" s="2">
        <v>0.73533939751916744</v>
      </c>
      <c r="S46" s="16">
        <f>(+Q46-K46)/K46</f>
        <v>5.4560077292203184E-2</v>
      </c>
      <c r="T46" s="40">
        <v>68989.984224710046</v>
      </c>
      <c r="U46" s="2">
        <f>+T46/T43</f>
        <v>0.74898030966437634</v>
      </c>
      <c r="V46" s="40">
        <v>67056.952499999999</v>
      </c>
      <c r="W46" s="2">
        <f>+V46/V43</f>
        <v>0.72728752696736632</v>
      </c>
      <c r="X46" s="40">
        <v>68117.175999999992</v>
      </c>
      <c r="Y46" s="2">
        <f>+X46/X43</f>
        <v>0.73379090806145164</v>
      </c>
      <c r="Z46" s="40">
        <v>68936.153648966021</v>
      </c>
      <c r="AA46" s="2">
        <f>+Z46/Z43</f>
        <v>0.71468617377203281</v>
      </c>
      <c r="AB46" s="40">
        <v>66424.926349999994</v>
      </c>
      <c r="AC46" s="2">
        <f>+AB46/AB43</f>
        <v>0.70429652984813718</v>
      </c>
      <c r="AD46" s="40">
        <v>63540.825300000004</v>
      </c>
      <c r="AE46" s="2">
        <f>+AD46/AD43</f>
        <v>0.70889964805848837</v>
      </c>
      <c r="AF46" s="40">
        <v>75770.059200000003</v>
      </c>
      <c r="AG46" s="2">
        <f>+AF46/AF43</f>
        <v>0.66808251495596382</v>
      </c>
      <c r="AH46" s="15">
        <v>146515.12086</v>
      </c>
      <c r="AI46" s="15">
        <f>+AH46/AH43</f>
        <v>0.69660372213511479</v>
      </c>
      <c r="AJ46" s="15">
        <v>147994.24584000002</v>
      </c>
      <c r="AK46" s="15">
        <f>+AJ46/AJ43</f>
        <v>0.69660372213511479</v>
      </c>
      <c r="AL46" s="15">
        <v>267659.18145827472</v>
      </c>
      <c r="AM46" s="15">
        <f>+AL46/AL43</f>
        <v>0.71343091191881103</v>
      </c>
      <c r="AN46" s="15">
        <v>220921.8361034235</v>
      </c>
      <c r="AO46" s="15">
        <f>+AN46/AN43</f>
        <v>0.69481234030937256</v>
      </c>
      <c r="AP46" s="15">
        <v>201869.85014213668</v>
      </c>
      <c r="AQ46" s="2">
        <f>+AP46/AP43</f>
        <v>0.65789416950547785</v>
      </c>
      <c r="AR46" s="15">
        <v>230637.1416241056</v>
      </c>
      <c r="AS46" s="2">
        <f>+AR46/AR43</f>
        <v>0.75311837873139598</v>
      </c>
      <c r="AT46" s="15">
        <v>195039.12760443107</v>
      </c>
      <c r="AU46" s="2">
        <f>+AT46/AT43</f>
        <v>0.73575216192930837</v>
      </c>
      <c r="AV46" s="15">
        <v>300065.74</v>
      </c>
      <c r="AW46" s="2">
        <f>+AV46/AV43</f>
        <v>0.85867279374425876</v>
      </c>
      <c r="AX46" s="15">
        <v>413939.68981230393</v>
      </c>
      <c r="AY46" s="2">
        <f>+AX46/AX43</f>
        <v>0.8692548853836064</v>
      </c>
      <c r="AZ46" s="15">
        <v>722288.42043240857</v>
      </c>
      <c r="BA46" s="2">
        <f>+AZ46/AZ43</f>
        <v>0.90612717409929544</v>
      </c>
      <c r="BB46" s="3">
        <f t="shared" si="1"/>
        <v>0.74491221356406234</v>
      </c>
      <c r="BC46" s="15">
        <v>1252302.0348615947</v>
      </c>
      <c r="BD46" s="2">
        <f>+BC46/BC43</f>
        <v>0.96385733224287806</v>
      </c>
      <c r="BE46" s="3">
        <f t="shared" si="4"/>
        <v>0.73379774538249642</v>
      </c>
      <c r="BF46" s="15">
        <v>1370841.2947761887</v>
      </c>
      <c r="BG46" s="2">
        <f>+BF46/BF43</f>
        <v>0.92132727536831838</v>
      </c>
      <c r="BH46" s="3">
        <f>+(BF46-BC46)/BC46</f>
        <v>9.4657084804381911E-2</v>
      </c>
      <c r="BI46" s="15">
        <v>911821.22282528901</v>
      </c>
      <c r="BJ46" s="2">
        <f>+BI46/BI43</f>
        <v>0.89340631174966523</v>
      </c>
      <c r="BK46" s="3">
        <f>+(BI46-BF46)/BF46</f>
        <v>-0.33484552420478542</v>
      </c>
      <c r="BL46" s="15">
        <v>604198.66226583894</v>
      </c>
      <c r="BM46" s="2">
        <f>+BL46/BL43</f>
        <v>0.90764922609666487</v>
      </c>
      <c r="BN46" s="3">
        <f>+(BL46-BI46)/BI46</f>
        <v>-0.33737157335105433</v>
      </c>
      <c r="BO46" s="15">
        <v>1211127.0212188947</v>
      </c>
      <c r="BP46" s="2">
        <f>+BO46/BO43</f>
        <v>0.93104228354922758</v>
      </c>
      <c r="BQ46" s="3">
        <f>+(BO46-BL46)/BL46</f>
        <v>1.0045178793957936</v>
      </c>
      <c r="BR46" s="15">
        <v>1134839.1823632875</v>
      </c>
      <c r="BS46" s="2">
        <f>+BR46/BR43</f>
        <v>0.92101823905864522</v>
      </c>
      <c r="BT46" s="3">
        <f t="shared" si="68"/>
        <v>-6.2989131213363636E-2</v>
      </c>
      <c r="BU46" s="15">
        <v>1014681.9150097072</v>
      </c>
      <c r="BV46" s="2">
        <f>+BU46/BU43</f>
        <v>0.91557519110773666</v>
      </c>
      <c r="BW46" s="3">
        <f t="shared" si="71"/>
        <v>-0.10588043594278655</v>
      </c>
      <c r="BX46" s="15">
        <v>920542.58032012312</v>
      </c>
      <c r="BY46" s="2">
        <f>+BX46/BX43</f>
        <v>0.90219236744704656</v>
      </c>
      <c r="BZ46" s="3">
        <f t="shared" si="72"/>
        <v>-9.2777187901967761E-2</v>
      </c>
      <c r="CA46" s="15">
        <v>685847.46755464154</v>
      </c>
      <c r="CB46" s="2">
        <f>+CA46/CA43</f>
        <v>0.86322056959615179</v>
      </c>
      <c r="CC46" s="3">
        <f>+(CA46-BX46)/BX46</f>
        <v>-0.25495302203605313</v>
      </c>
      <c r="CD46" s="15">
        <v>946688.81145764585</v>
      </c>
      <c r="CE46" s="2">
        <f>+CD46/CD43</f>
        <v>0.90333621243467033</v>
      </c>
      <c r="CF46" s="3">
        <f>+(CD46-CA46)/CA46</f>
        <v>0.38031975948387248</v>
      </c>
      <c r="CG46" s="15">
        <v>975411.08135837002</v>
      </c>
      <c r="CH46" s="2">
        <f>+CG46/CG43</f>
        <v>0.90006170165390931</v>
      </c>
      <c r="CI46" s="3">
        <f>+(CG46-CD46)/CD46</f>
        <v>3.0339716233151223E-2</v>
      </c>
      <c r="CJ46" s="15">
        <v>419884.94291762012</v>
      </c>
      <c r="CK46" s="2">
        <f>+CJ46/CJ43</f>
        <v>0.80117599104746728</v>
      </c>
      <c r="CL46" s="3">
        <f>+(CJ46-CG46)/CG46</f>
        <v>-0.56953027196196804</v>
      </c>
    </row>
    <row r="47" spans="2:90" x14ac:dyDescent="0.35">
      <c r="B47" s="1"/>
      <c r="C47" s="1"/>
      <c r="D47" s="15"/>
      <c r="E47" s="2"/>
      <c r="F47" s="15"/>
      <c r="G47" s="2"/>
      <c r="H47" s="15"/>
      <c r="I47" s="2"/>
      <c r="J47" s="2"/>
      <c r="K47" s="15"/>
      <c r="L47" s="2"/>
      <c r="M47" s="2"/>
      <c r="N47" s="15"/>
      <c r="O47" s="2"/>
      <c r="P47" s="2"/>
      <c r="Q47" s="15"/>
      <c r="R47" s="2"/>
      <c r="S47" s="16"/>
      <c r="T47" s="15"/>
      <c r="U47" s="2"/>
      <c r="V47" s="15"/>
      <c r="W47" s="2"/>
      <c r="X47" s="15"/>
      <c r="Y47" s="2"/>
      <c r="Z47" s="15"/>
      <c r="AA47" s="2"/>
      <c r="AB47" s="15"/>
      <c r="AC47" s="2"/>
      <c r="AD47" s="15"/>
      <c r="AE47" s="2"/>
      <c r="AF47" s="15"/>
      <c r="AG47" s="2"/>
      <c r="AH47" s="15"/>
      <c r="AI47" s="15"/>
      <c r="AJ47" s="15"/>
      <c r="AK47" s="15"/>
      <c r="AL47" s="15"/>
      <c r="AM47" s="15"/>
      <c r="AN47" s="15"/>
      <c r="AO47" s="15"/>
      <c r="AP47" s="15"/>
      <c r="AQ47" s="2"/>
      <c r="AR47" s="15"/>
      <c r="AS47" s="2"/>
      <c r="AT47" s="15"/>
      <c r="AU47" s="2"/>
      <c r="AV47" s="15"/>
      <c r="AW47" s="2"/>
      <c r="AX47" s="15"/>
      <c r="AY47" s="2"/>
      <c r="AZ47" s="15"/>
      <c r="BA47" s="2"/>
      <c r="BB47" s="3"/>
      <c r="BC47" s="15"/>
      <c r="BD47" s="2"/>
      <c r="BE47" s="3"/>
      <c r="BF47" s="15"/>
      <c r="BG47" s="2"/>
      <c r="BH47" s="3"/>
      <c r="BI47" s="15"/>
      <c r="BJ47" s="2"/>
      <c r="BK47" s="3"/>
      <c r="BL47" s="15"/>
      <c r="BM47" s="2"/>
      <c r="BN47" s="3"/>
      <c r="BO47" s="3"/>
      <c r="BP47" s="2"/>
      <c r="BQ47" s="3"/>
      <c r="BR47" s="15"/>
      <c r="BS47" s="2"/>
      <c r="BT47" s="3"/>
      <c r="BU47" s="15"/>
      <c r="BV47" s="2"/>
      <c r="BW47" s="3"/>
      <c r="BX47" s="15"/>
      <c r="BY47" s="2"/>
      <c r="BZ47" s="3"/>
      <c r="CA47" s="15"/>
      <c r="CB47" s="2"/>
      <c r="CC47" s="3"/>
      <c r="CD47" s="15"/>
      <c r="CE47" s="2"/>
      <c r="CF47" s="3"/>
      <c r="CG47" s="15"/>
      <c r="CH47" s="2"/>
      <c r="CI47" s="3"/>
      <c r="CJ47" s="15"/>
      <c r="CK47" s="2"/>
      <c r="CL47" s="3"/>
    </row>
    <row r="48" spans="2:90" x14ac:dyDescent="0.35">
      <c r="B48" s="100" t="s">
        <v>7</v>
      </c>
      <c r="C48" s="100"/>
      <c r="D48" s="15">
        <f>+D49+D50+D51</f>
        <v>2975775.780997504</v>
      </c>
      <c r="E48" s="2">
        <v>0.97134043519468205</v>
      </c>
      <c r="F48" s="15">
        <f>+F49+F50+F51</f>
        <v>3105909.6928099962</v>
      </c>
      <c r="G48" s="2">
        <v>0.96308160142139387</v>
      </c>
      <c r="H48" s="15">
        <f>+H49+H50+H51</f>
        <v>3150569.4888800001</v>
      </c>
      <c r="I48" s="2">
        <v>0.96884434627233307</v>
      </c>
      <c r="J48" s="16">
        <f t="shared" ref="J48:J51" si="77">(+H48-F48)/F48</f>
        <v>1.4378974434893829E-2</v>
      </c>
      <c r="K48" s="15">
        <f>+K49+K50+K51</f>
        <v>3240188.9575723242</v>
      </c>
      <c r="L48" s="2">
        <v>0.97049595984248571</v>
      </c>
      <c r="M48" s="16">
        <f>(+K48-H48)/F48</f>
        <v>2.8854499182570596E-2</v>
      </c>
      <c r="N48" s="15">
        <f>+N49+N50+N51</f>
        <v>3256848.2595492424</v>
      </c>
      <c r="O48" s="2">
        <v>0.97322778937881871</v>
      </c>
      <c r="P48" s="16">
        <f t="shared" ref="P48:P51" si="78">(+N48-H48)/H48</f>
        <v>3.3733193647800967E-2</v>
      </c>
      <c r="Q48" s="15">
        <f>+Q49+Q50+Q51</f>
        <v>3283573.0860654032</v>
      </c>
      <c r="R48" s="2">
        <v>0.97924213869602938</v>
      </c>
      <c r="S48" s="16">
        <f>(+Q48-K48)/K48</f>
        <v>1.3389382243183763E-2</v>
      </c>
      <c r="T48" s="15">
        <f>+T49+T50+T51</f>
        <v>3261066.0078256736</v>
      </c>
      <c r="U48" s="2">
        <f>+T48/$AV$54</f>
        <v>0.50784173831762724</v>
      </c>
      <c r="V48" s="15">
        <f>+V49+V50+V51</f>
        <v>3256354.5052389028</v>
      </c>
      <c r="W48" s="2">
        <f>+V48/$V$54</f>
        <v>0.97246531486531607</v>
      </c>
      <c r="X48" s="15">
        <f>+X49+X50+X51</f>
        <v>3347497.0123980525</v>
      </c>
      <c r="Y48" s="2">
        <f>+X48/$X$54</f>
        <v>0.97301734428777209</v>
      </c>
      <c r="Z48" s="15">
        <f>+Z49+Z50+Z51</f>
        <v>3649671.2571097095</v>
      </c>
      <c r="AA48" s="2">
        <f>+Z48/$Z$54</f>
        <v>0.97425166927290674</v>
      </c>
      <c r="AB48" s="15">
        <f>+AB49+AB50+AB51</f>
        <v>3589735.4456464252</v>
      </c>
      <c r="AC48" s="2">
        <f>+AB48/$AV$54</f>
        <v>0.55902501956192718</v>
      </c>
      <c r="AD48" s="15">
        <f>+AD49+AD50+AD51</f>
        <v>3480268.8187677376</v>
      </c>
      <c r="AE48" s="2">
        <f>+AD48/$AD$54</f>
        <v>0.97489201765745925</v>
      </c>
      <c r="AF48" s="15">
        <f>+AF49+AF50+AF51</f>
        <v>3478339.2196112536</v>
      </c>
      <c r="AG48" s="2">
        <f>+AF48/$AF$54</f>
        <v>0.96842371710128805</v>
      </c>
      <c r="AH48" s="15">
        <f>+AH49+AH50+AH51</f>
        <v>4425591.0716271661</v>
      </c>
      <c r="AI48" s="15">
        <f>+AH48/$AH$54</f>
        <v>0.95463083035706886</v>
      </c>
      <c r="AJ48" s="15">
        <f>+AJ49+AJ50+AJ51</f>
        <v>4457392.0973230302</v>
      </c>
      <c r="AK48" s="15">
        <f>+AJ48/$AJ$54</f>
        <v>0.95450572603948636</v>
      </c>
      <c r="AL48" s="15">
        <f>+AL49+AL50+AL51</f>
        <v>4815316.6474742917</v>
      </c>
      <c r="AM48" s="15">
        <f>+AL48/$AL$54</f>
        <v>0.92771935965563279</v>
      </c>
      <c r="AN48" s="15">
        <f>+AN49+AN50+AN51</f>
        <v>5323291.943886755</v>
      </c>
      <c r="AO48" s="15">
        <f>+AN48/$AN$54</f>
        <v>0.94363679225334962</v>
      </c>
      <c r="AP48" s="15">
        <f>+AP49+AP50+AP51</f>
        <v>5454653.3290969292</v>
      </c>
      <c r="AQ48" s="2">
        <f>+AP48/$AP$54</f>
        <v>0.9467425735800763</v>
      </c>
      <c r="AR48" s="15">
        <f>+AR49+AR50+AR51</f>
        <v>5570653.0205879174</v>
      </c>
      <c r="AS48" s="2">
        <f>+AR48/$AR$54</f>
        <v>0.94789036838343721</v>
      </c>
      <c r="AT48" s="15">
        <f>+AT49+AT50+AT51</f>
        <v>5901506.8081072308</v>
      </c>
      <c r="AU48" s="2">
        <f>+AT48/$AT$54</f>
        <v>0.95701224349169611</v>
      </c>
      <c r="AV48" s="15">
        <f>+AV49+AV50+AV51</f>
        <v>6071968.8479340179</v>
      </c>
      <c r="AW48" s="2">
        <f>+AV48/$AV$54</f>
        <v>0.94558012850567608</v>
      </c>
      <c r="AX48" s="15">
        <f>+AX49+AX50+AX51</f>
        <v>6302658.5444572344</v>
      </c>
      <c r="AY48" s="2">
        <f>+AX48/$AX$54</f>
        <v>0.92975210413375575</v>
      </c>
      <c r="AZ48" s="15">
        <f>+AZ49+AZ50+AZ51</f>
        <v>6603586.43088789</v>
      </c>
      <c r="BA48" s="2">
        <f>+AZ48/$AZ$54</f>
        <v>0.89229185200984895</v>
      </c>
      <c r="BB48" s="3">
        <f t="shared" si="1"/>
        <v>4.7746182711310217E-2</v>
      </c>
      <c r="BC48" s="15">
        <f>+BC49+BC50+BC51</f>
        <v>6537334.8767388314</v>
      </c>
      <c r="BD48" s="2">
        <f>+BC48/$BC$54</f>
        <v>0.8342059688000566</v>
      </c>
      <c r="BE48" s="3">
        <f t="shared" si="4"/>
        <v>-1.0032662530041384E-2</v>
      </c>
      <c r="BF48" s="15">
        <f>+BF49+BF50+BF51</f>
        <v>5831330.0273893001</v>
      </c>
      <c r="BG48" s="2">
        <f>+BF48/$BF$54</f>
        <v>0.7967137735872365</v>
      </c>
      <c r="BH48" s="3">
        <f>+(BF48-BC48)/BC48</f>
        <v>-0.10799582133410977</v>
      </c>
      <c r="BI48" s="15">
        <f>+BI49+BI50+BI51</f>
        <v>6189134.4274178175</v>
      </c>
      <c r="BJ48" s="2">
        <f>+BI48/$BI$54</f>
        <v>0.8584399562921039</v>
      </c>
      <c r="BK48" s="3">
        <f>+(BI48-BF48)/BF48</f>
        <v>6.1358969282811683E-2</v>
      </c>
      <c r="BL48" s="15">
        <f>+BL49+BL50+BL51</f>
        <v>5356336.9380731937</v>
      </c>
      <c r="BM48" s="2">
        <f>+BL48/$BL$54</f>
        <v>0.88945982085635023</v>
      </c>
      <c r="BN48" s="3">
        <f>+(BL48-BI48)/BI48</f>
        <v>-0.13455799015373418</v>
      </c>
      <c r="BO48" s="15">
        <f>+BO49+BO50+BO51</f>
        <v>5593247.9462524969</v>
      </c>
      <c r="BP48" s="2">
        <f>+BO48/$BO$54</f>
        <v>0.81131205807709983</v>
      </c>
      <c r="BQ48" s="3">
        <f>+(BO48-BL48)/BL48</f>
        <v>4.4230042082551657E-2</v>
      </c>
      <c r="BR48" s="15">
        <f>+BR49+BR50+BR51</f>
        <v>5701403.0950344382</v>
      </c>
      <c r="BS48" s="2">
        <f>+BR48/$BR$54</f>
        <v>0.82229084581549561</v>
      </c>
      <c r="BT48" s="3">
        <f t="shared" ref="BT48:BT50" si="79">+(BR48-BO48)/BO48</f>
        <v>1.9336734187585185E-2</v>
      </c>
      <c r="BU48" s="15">
        <f>+BU49+BU50+BU51</f>
        <v>6430336.1357666124</v>
      </c>
      <c r="BV48" s="2">
        <f>+BU48/$BU$54</f>
        <v>0.85299020495500866</v>
      </c>
      <c r="BW48" s="3">
        <f t="shared" ref="BW48:BW50" si="80">+(BU48-BR48)/BR48</f>
        <v>0.127851518052991</v>
      </c>
      <c r="BX48" s="15">
        <f>+BX49+BX50+BX51</f>
        <v>6556740.849933763</v>
      </c>
      <c r="BY48" s="2">
        <f>+BX48/$BX$54</f>
        <v>0.86533868968207162</v>
      </c>
      <c r="BZ48" s="3">
        <f t="shared" ref="BZ48" si="81">+(BX48-BU48)/BU48</f>
        <v>1.9657559340337805E-2</v>
      </c>
      <c r="CA48" s="15">
        <f>+CA49+CA50+CA51</f>
        <v>7408594.6983942753</v>
      </c>
      <c r="CB48" s="2">
        <f>+CA48/$CA$54</f>
        <v>0.90314392064927185</v>
      </c>
      <c r="CC48" s="3">
        <f t="shared" ref="CC48" si="82">+(CA48-BX48)/BX48</f>
        <v>0.12992031680939742</v>
      </c>
      <c r="CD48" s="15">
        <f>+CD49+CD50+CD51</f>
        <v>6999419.2641301099</v>
      </c>
      <c r="CE48" s="2">
        <f>+CD48/$CD$54</f>
        <v>0.8697728170303195</v>
      </c>
      <c r="CF48" s="3">
        <f t="shared" ref="CF48" si="83">+(CD48-CA48)/CA48</f>
        <v>-5.5229831151763407E-2</v>
      </c>
      <c r="CG48" s="15">
        <f>+CG49+CG50+CG51</f>
        <v>6734049.9673382249</v>
      </c>
      <c r="CH48" s="2">
        <f>+CG48/$CG$54</f>
        <v>0.86137781217829246</v>
      </c>
      <c r="CI48" s="3">
        <f t="shared" ref="CI48" si="84">+(CG48-CD48)/CD48</f>
        <v>-3.7913044893855954E-2</v>
      </c>
      <c r="CJ48" s="15">
        <f>+CJ49+CJ50+CJ51</f>
        <v>7172507.1200159714</v>
      </c>
      <c r="CK48" s="2">
        <f>+CJ48/$CJ$54</f>
        <v>0.9319067819574709</v>
      </c>
      <c r="CL48" s="3">
        <f t="shared" ref="CL48" si="85">+(CJ48-CG48)/CG48</f>
        <v>6.5110469153684625E-2</v>
      </c>
    </row>
    <row r="49" spans="2:90" x14ac:dyDescent="0.35">
      <c r="B49" s="29" t="s">
        <v>23</v>
      </c>
      <c r="C49" s="13"/>
      <c r="D49" s="15">
        <v>2269631.7292800029</v>
      </c>
      <c r="E49" s="2">
        <v>0.76270253416714218</v>
      </c>
      <c r="F49" s="15">
        <v>2245809.2560099959</v>
      </c>
      <c r="G49" s="2">
        <v>0.7230761606523578</v>
      </c>
      <c r="H49" s="15">
        <v>2289267.92618</v>
      </c>
      <c r="I49" s="2">
        <v>0.72662035681486103</v>
      </c>
      <c r="J49" s="16">
        <f>(+H49-F49)/F49</f>
        <v>1.9351006793521999E-2</v>
      </c>
      <c r="K49" s="15">
        <v>2338445.0405999999</v>
      </c>
      <c r="L49" s="2">
        <v>0.72170020675339075</v>
      </c>
      <c r="M49" s="16">
        <f>(+K49-H49)/F49</f>
        <v>2.1897280140064181E-2</v>
      </c>
      <c r="N49" s="15">
        <v>2342768.4074484427</v>
      </c>
      <c r="O49" s="2">
        <v>0.71933606380933723</v>
      </c>
      <c r="P49" s="16">
        <f t="shared" si="78"/>
        <v>2.3370126605371432E-2</v>
      </c>
      <c r="Q49" s="15">
        <v>2334232.4889826565</v>
      </c>
      <c r="R49" s="2">
        <v>0.71088184358938389</v>
      </c>
      <c r="S49" s="16">
        <f>(+Q49-K49)/K49</f>
        <v>-1.8014328086421842E-3</v>
      </c>
      <c r="T49" s="15">
        <v>2316235.620242273</v>
      </c>
      <c r="U49" s="2">
        <f>+T49/$AV$48</f>
        <v>0.38146368636762196</v>
      </c>
      <c r="V49" s="15">
        <v>2320736.0665729577</v>
      </c>
      <c r="W49" s="2">
        <f>+V49/$V$48</f>
        <v>0.71267918245366124</v>
      </c>
      <c r="X49" s="15">
        <v>2389170.8640000001</v>
      </c>
      <c r="Y49" s="2">
        <f>+X49/$X$48</f>
        <v>0.7137185948639474</v>
      </c>
      <c r="Z49" s="15">
        <v>2495490.962601034</v>
      </c>
      <c r="AA49" s="2">
        <f>+Z49/$Z$48</f>
        <v>0.68375773783452831</v>
      </c>
      <c r="AB49" s="15">
        <v>2453688.63711</v>
      </c>
      <c r="AC49" s="2">
        <f>+AB49/$AV$48</f>
        <v>0.40410099237331654</v>
      </c>
      <c r="AD49" s="15">
        <v>2379404.4673500005</v>
      </c>
      <c r="AE49" s="2">
        <f>+AD49/$AD$48</f>
        <v>0.68368410351487696</v>
      </c>
      <c r="AF49" s="15">
        <v>2353285.7771999999</v>
      </c>
      <c r="AG49" s="2">
        <f>+AF49/$AF$48</f>
        <v>0.67655442112486319</v>
      </c>
      <c r="AH49" s="15">
        <v>3087469.7107499996</v>
      </c>
      <c r="AI49" s="15">
        <f>+AH49/$AH$48</f>
        <v>0.69764008033729685</v>
      </c>
      <c r="AJ49" s="15">
        <v>3118638.8730000001</v>
      </c>
      <c r="AK49" s="15">
        <f>+AJ49/$AJ$48</f>
        <v>0.6996554947169572</v>
      </c>
      <c r="AL49" s="15">
        <v>2981333.1690817252</v>
      </c>
      <c r="AM49" s="15">
        <f>+AL49/$AL$48</f>
        <v>0.61913543539145666</v>
      </c>
      <c r="AN49" s="15">
        <v>3012511.0011643488</v>
      </c>
      <c r="AO49" s="15">
        <f>+AN49/$AN$48</f>
        <v>0.56591128815016489</v>
      </c>
      <c r="AP49" s="15">
        <v>3079727.5631778631</v>
      </c>
      <c r="AQ49" s="2">
        <f>+AP49/$AP$48</f>
        <v>0.56460555371128274</v>
      </c>
      <c r="AR49" s="15">
        <v>3064597.119547917</v>
      </c>
      <c r="AS49" s="2">
        <f>+AR49/$AR$48</f>
        <v>0.55013247248066521</v>
      </c>
      <c r="AT49" s="15">
        <v>3146396.9204855692</v>
      </c>
      <c r="AU49" s="2">
        <f>+AT49/$AT$48</f>
        <v>0.5331514514501936</v>
      </c>
      <c r="AV49" s="15">
        <v>3108947.049694018</v>
      </c>
      <c r="AW49" s="2">
        <f>+AV49/$AV$48</f>
        <v>0.51201630435766066</v>
      </c>
      <c r="AX49" s="15">
        <v>3058429.4093876956</v>
      </c>
      <c r="AY49" s="2">
        <f>+AX49/$AX$48</f>
        <v>0.48526021008664338</v>
      </c>
      <c r="AZ49" s="15">
        <v>2873419.0530575919</v>
      </c>
      <c r="BA49" s="2">
        <f>+AZ49/$AX$48</f>
        <v>0.45590587413061928</v>
      </c>
      <c r="BB49" s="3">
        <f t="shared" si="1"/>
        <v>-6.0491949156068044E-2</v>
      </c>
      <c r="BC49" s="15">
        <v>2508224.2142284052</v>
      </c>
      <c r="BD49" s="2">
        <f>+BC49/$BC$48</f>
        <v>0.38367687467765765</v>
      </c>
      <c r="BE49" s="3">
        <f t="shared" si="4"/>
        <v>-0.12709418016859902</v>
      </c>
      <c r="BF49" s="15">
        <v>1973911.6913038113</v>
      </c>
      <c r="BG49" s="2">
        <f>+BF49/$BF$48</f>
        <v>0.33850111072988542</v>
      </c>
      <c r="BH49" s="3">
        <f>+(BF49-BC49)/BC49</f>
        <v>-0.21302422642026933</v>
      </c>
      <c r="BI49" s="15">
        <v>2266407.9774147109</v>
      </c>
      <c r="BJ49" s="2">
        <f>+BI49/$BI$48</f>
        <v>0.36619142854201731</v>
      </c>
      <c r="BK49" s="3">
        <f>+(BI49-BF49)/BF49</f>
        <v>0.14818103940490851</v>
      </c>
      <c r="BL49" s="15">
        <v>1779220.811234161</v>
      </c>
      <c r="BM49" s="2">
        <f>+BL49/$BL$48</f>
        <v>0.33217118934160828</v>
      </c>
      <c r="BN49" s="3">
        <f>+(BL49-BI49)/BI49</f>
        <v>-0.21496004736811938</v>
      </c>
      <c r="BO49" s="15">
        <v>1986330.765260064</v>
      </c>
      <c r="BP49" s="2">
        <f>+BO49/$BL$48</f>
        <v>0.37083753098896655</v>
      </c>
      <c r="BQ49" s="3">
        <f>+(BO49-BL49)/BL49</f>
        <v>0.11640486257702926</v>
      </c>
      <c r="BR49" s="15">
        <v>2016842.8784177122</v>
      </c>
      <c r="BS49" s="2">
        <f>+BR49/$BR$48</f>
        <v>0.35374500711487228</v>
      </c>
      <c r="BT49" s="3">
        <f t="shared" si="79"/>
        <v>1.5361043433092712E-2</v>
      </c>
      <c r="BU49" s="15">
        <v>2819654.6861639372</v>
      </c>
      <c r="BV49" s="2">
        <f>+BU49/$BU$48</f>
        <v>0.43849258057919288</v>
      </c>
      <c r="BW49" s="3">
        <f>+(BU49-BR49)/BR49</f>
        <v>0.39805371867939487</v>
      </c>
      <c r="BX49" s="15">
        <v>2760410.4210640769</v>
      </c>
      <c r="BY49" s="2">
        <f>+BX49/$BX$48</f>
        <v>0.42100343512767674</v>
      </c>
      <c r="BZ49" s="3">
        <f>+(BX49-BU49)/BU49</f>
        <v>-2.1011177500057803E-2</v>
      </c>
      <c r="CA49" s="15">
        <v>3169453.3079653587</v>
      </c>
      <c r="CB49" s="2">
        <f>+CA49/$CA$48</f>
        <v>0.42780762573667314</v>
      </c>
      <c r="CC49" s="3">
        <f>+(CA49-BX49)/BX49</f>
        <v>0.14818190939288109</v>
      </c>
      <c r="CD49" s="15">
        <v>2844658.3459223546</v>
      </c>
      <c r="CE49" s="2">
        <f>+CD49/$CD$48</f>
        <v>0.40641348068694233</v>
      </c>
      <c r="CF49" s="3">
        <f>+(CD49-CA49)/CA49</f>
        <v>-0.10247665148646955</v>
      </c>
      <c r="CG49" s="15">
        <v>2752759.2063316298</v>
      </c>
      <c r="CH49" s="2">
        <f>+CG49/$CG$48</f>
        <v>0.40878211769784595</v>
      </c>
      <c r="CI49" s="3">
        <f>+(CG49-CD49)/CD49</f>
        <v>-3.2305861870005122E-2</v>
      </c>
      <c r="CJ49" s="15">
        <v>3252164.2215823797</v>
      </c>
      <c r="CK49" s="2">
        <f>+CJ49/$CJ$48</f>
        <v>0.45342084255402426</v>
      </c>
      <c r="CL49" s="3">
        <f>+(CJ49-CG49)/CG49</f>
        <v>0.18141979658157784</v>
      </c>
    </row>
    <row r="50" spans="2:90" x14ac:dyDescent="0.35">
      <c r="B50" s="29" t="s">
        <v>35</v>
      </c>
      <c r="C50" s="13"/>
      <c r="D50" s="15">
        <v>50516.991752801128</v>
      </c>
      <c r="E50" s="2">
        <v>1.6976074634180747E-2</v>
      </c>
      <c r="F50" s="15">
        <v>91156.000800000009</v>
      </c>
      <c r="G50" s="2">
        <v>2.9349211604903051E-2</v>
      </c>
      <c r="H50" s="15">
        <v>94008.953699999998</v>
      </c>
      <c r="I50" s="2">
        <v>2.9838717740334419E-2</v>
      </c>
      <c r="J50" s="16">
        <f t="shared" si="77"/>
        <v>3.1297477675216186E-2</v>
      </c>
      <c r="K50" s="15">
        <v>97678.467992022983</v>
      </c>
      <c r="L50" s="2">
        <v>3.0145917189103533E-2</v>
      </c>
      <c r="M50" s="16">
        <f>(+K50-H50)/F50</f>
        <v>4.0255323399652522E-2</v>
      </c>
      <c r="N50" s="15">
        <v>98815.735300800006</v>
      </c>
      <c r="O50" s="2">
        <v>3.034090857965744E-2</v>
      </c>
      <c r="P50" s="16">
        <f t="shared" si="78"/>
        <v>5.1131104130137855E-2</v>
      </c>
      <c r="Q50" s="15">
        <v>102204.07601175724</v>
      </c>
      <c r="R50" s="2">
        <v>3.1125872131637245E-2</v>
      </c>
      <c r="S50" s="16">
        <f>(+Q50-K50)/K50</f>
        <v>4.6331685096697474E-2</v>
      </c>
      <c r="T50" s="15">
        <v>104791.43417506694</v>
      </c>
      <c r="U50" s="2">
        <f>+T50/$AV$48</f>
        <v>1.7258229875590045E-2</v>
      </c>
      <c r="V50" s="15">
        <v>100086.58911431523</v>
      </c>
      <c r="W50" s="2">
        <f t="shared" ref="W50:W51" si="86">+V50/$V$48</f>
        <v>3.0735777985257277E-2</v>
      </c>
      <c r="X50" s="15">
        <v>102564.98393683448</v>
      </c>
      <c r="Y50" s="2">
        <f t="shared" ref="Y50:Y51" si="87">+X50/$X$48</f>
        <v>3.0639305593691872E-2</v>
      </c>
      <c r="Z50" s="15">
        <v>110727.6090726753</v>
      </c>
      <c r="AA50" s="2">
        <f>+Z50/$Z$48</f>
        <v>3.0339063787450271E-2</v>
      </c>
      <c r="AB50" s="15">
        <v>110346.51092552101</v>
      </c>
      <c r="AC50" s="2">
        <f>+AB50/$AV$48</f>
        <v>1.8173102281818575E-2</v>
      </c>
      <c r="AD50" s="15">
        <v>109460.51612794188</v>
      </c>
      <c r="AE50" s="2">
        <f>+AD50/$AD$48</f>
        <v>3.1451741755597687E-2</v>
      </c>
      <c r="AF50" s="15">
        <v>105972.87853857847</v>
      </c>
      <c r="AG50" s="2">
        <f t="shared" ref="AG50:AG51" si="88">+AF50/$AF$48</f>
        <v>3.0466516302116796E-2</v>
      </c>
      <c r="AH50" s="15">
        <v>128934.92736012474</v>
      </c>
      <c r="AI50" s="15">
        <f>+AH50/$AH$48</f>
        <v>2.9133945110007411E-2</v>
      </c>
      <c r="AJ50" s="15">
        <v>128566.35812967394</v>
      </c>
      <c r="AK50" s="15">
        <f t="shared" ref="AK50:AK51" si="89">+AJ50/$AJ$48</f>
        <v>2.8843403344948466E-2</v>
      </c>
      <c r="AL50" s="15">
        <v>134154.17603229769</v>
      </c>
      <c r="AM50" s="15">
        <f>+AL50/$AL$48</f>
        <v>2.7859886660343228E-2</v>
      </c>
      <c r="AN50" s="15">
        <v>247277.29693183073</v>
      </c>
      <c r="AO50" s="15">
        <f t="shared" ref="AO50:AO51" si="90">+AN50/$AN$48</f>
        <v>4.6451951074335286E-2</v>
      </c>
      <c r="AP50" s="15">
        <v>260578.99337969994</v>
      </c>
      <c r="AQ50" s="2">
        <f t="shared" ref="AQ50:AQ51" si="91">+AP50/$AP$48</f>
        <v>4.7771870668606053E-2</v>
      </c>
      <c r="AR50" s="15">
        <v>257449.43719999999</v>
      </c>
      <c r="AS50" s="2">
        <f t="shared" ref="AS50:AS51" si="92">+AR50/$AR$48</f>
        <v>4.6215306580489411E-2</v>
      </c>
      <c r="AT50" s="15">
        <v>272444.62370550312</v>
      </c>
      <c r="AU50" s="2">
        <f t="shared" ref="AU50:AU51" si="93">+AT50/$AT$48</f>
        <v>4.6165264662785893E-2</v>
      </c>
      <c r="AV50" s="15">
        <v>282695.90000000002</v>
      </c>
      <c r="AW50" s="2">
        <f>+AV50/$AV$48</f>
        <v>4.6557534644827279E-2</v>
      </c>
      <c r="AX50" s="15">
        <v>294145.6881942192</v>
      </c>
      <c r="AY50" s="2">
        <f>+AX50/$AX$48</f>
        <v>4.6670097407212487E-2</v>
      </c>
      <c r="AZ50" s="15">
        <v>303561.94465637137</v>
      </c>
      <c r="BA50" s="2">
        <f>+AZ50/$AX$48</f>
        <v>4.8164110829601224E-2</v>
      </c>
      <c r="BB50" s="3">
        <f t="shared" si="1"/>
        <v>3.2012219930739855E-2</v>
      </c>
      <c r="BC50" s="15">
        <v>314229.63628430193</v>
      </c>
      <c r="BD50" s="2">
        <f>+BC50/$BC$48</f>
        <v>4.8066932811166668E-2</v>
      </c>
      <c r="BE50" s="3">
        <f t="shared" si="4"/>
        <v>3.5141729112343985E-2</v>
      </c>
      <c r="BF50" s="15">
        <v>285295.77713306196</v>
      </c>
      <c r="BG50" s="2">
        <f>+BF50/$BF$48</f>
        <v>4.8924649401260102E-2</v>
      </c>
      <c r="BH50" s="3">
        <f>+(BF50-BC50)/BC50</f>
        <v>-9.207870872199278E-2</v>
      </c>
      <c r="BI50" s="15">
        <v>345622.13442393311</v>
      </c>
      <c r="BJ50" s="2">
        <f>+BI50/$BI$48</f>
        <v>5.5843371714925066E-2</v>
      </c>
      <c r="BK50" s="3">
        <f>+(BI50-BF50)/BF50</f>
        <v>0.21145198115825925</v>
      </c>
      <c r="BL50" s="15">
        <v>331715.71442162147</v>
      </c>
      <c r="BM50" s="2">
        <f>+BL50/$BL$48</f>
        <v>6.1929583268700752E-2</v>
      </c>
      <c r="BN50" s="3">
        <f>+(BL50-BI50)/BI50</f>
        <v>-4.023590683938752E-2</v>
      </c>
      <c r="BO50" s="15">
        <v>334715.01976970205</v>
      </c>
      <c r="BP50" s="2">
        <f>+BO50/$BL$48</f>
        <v>6.2489537838914831E-2</v>
      </c>
      <c r="BQ50" s="3">
        <f>+(BO50-BL50)/BL50</f>
        <v>9.0417945779571011E-3</v>
      </c>
      <c r="BR50" s="15">
        <v>328841.85262469354</v>
      </c>
      <c r="BS50" s="2">
        <f>+BR50/$BR$48</f>
        <v>5.7677355405916488E-2</v>
      </c>
      <c r="BT50" s="3">
        <f t="shared" si="79"/>
        <v>-1.754676903668529E-2</v>
      </c>
      <c r="BU50" s="15">
        <v>358499.40008629742</v>
      </c>
      <c r="BV50" s="2">
        <f>+BU50/$BU$48</f>
        <v>5.5751269065432429E-2</v>
      </c>
      <c r="BW50" s="3">
        <f t="shared" si="80"/>
        <v>9.0187873669024657E-2</v>
      </c>
      <c r="BX50" s="15">
        <v>342041.12853388523</v>
      </c>
      <c r="BY50" s="2">
        <f>+BX50/$BX$48</f>
        <v>5.2166333299163495E-2</v>
      </c>
      <c r="BZ50" s="3">
        <f t="shared" ref="BZ50" si="94">+(BX50-BU50)/BU50</f>
        <v>-4.5908784082903289E-2</v>
      </c>
      <c r="CA50" s="15">
        <v>358250.73537651903</v>
      </c>
      <c r="CB50" s="2">
        <f>+CA50/$CA$48</f>
        <v>4.8356098553233799E-2</v>
      </c>
      <c r="CC50" s="3">
        <f>+(CA50-BX50)/BX50</f>
        <v>4.7390812070215567E-2</v>
      </c>
      <c r="CD50" s="15">
        <v>354202.44731959462</v>
      </c>
      <c r="CE50" s="2">
        <f>+CD50/$CD$48</f>
        <v>5.0604547885104441E-2</v>
      </c>
      <c r="CF50" s="3">
        <f>+(CD50-CA50)/CA50</f>
        <v>-1.1300152818024763E-2</v>
      </c>
      <c r="CG50" s="15">
        <v>335083.90682626318</v>
      </c>
      <c r="CH50" s="2">
        <f>+CG50/$CG$48</f>
        <v>4.9759640699356462E-2</v>
      </c>
      <c r="CI50" s="3">
        <f>+(CG50-CD50)/CD50</f>
        <v>-5.3976308289256127E-2</v>
      </c>
      <c r="CJ50" s="15">
        <v>333038.67460935633</v>
      </c>
      <c r="CK50" s="2">
        <f>+CJ50/$CJ$48</f>
        <v>4.6432672569952739E-2</v>
      </c>
      <c r="CL50" s="3">
        <f>+(CJ50-CG50)/CG50</f>
        <v>-6.1036420288822692E-3</v>
      </c>
    </row>
    <row r="51" spans="2:90" x14ac:dyDescent="0.35">
      <c r="B51" s="29" t="s">
        <v>36</v>
      </c>
      <c r="C51" s="13"/>
      <c r="D51" s="15">
        <v>655627.05996470002</v>
      </c>
      <c r="E51" s="2">
        <v>0.22032139119867714</v>
      </c>
      <c r="F51" s="15">
        <v>768944.4360000001</v>
      </c>
      <c r="G51" s="2">
        <v>0.24757462774273914</v>
      </c>
      <c r="H51" s="15">
        <v>767292.60899999994</v>
      </c>
      <c r="I51" s="2">
        <v>0.24354092544480452</v>
      </c>
      <c r="J51" s="16">
        <f t="shared" si="77"/>
        <v>-2.1481747219511248E-3</v>
      </c>
      <c r="K51" s="15">
        <v>804065.44898030115</v>
      </c>
      <c r="L51" s="2">
        <v>0.24815387605750572</v>
      </c>
      <c r="M51" s="16">
        <f>(+K51-H51)/F51</f>
        <v>4.7822493094027939E-2</v>
      </c>
      <c r="N51" s="15">
        <v>815264.11680000008</v>
      </c>
      <c r="O51" s="2">
        <v>0.25032302761100544</v>
      </c>
      <c r="P51" s="16">
        <f t="shared" si="78"/>
        <v>6.2520487278667561E-2</v>
      </c>
      <c r="Q51" s="15">
        <v>847136.52107098955</v>
      </c>
      <c r="R51" s="2">
        <v>0.25799228427897891</v>
      </c>
      <c r="S51" s="16">
        <f>(+Q51-K51)/K51</f>
        <v>5.3566624638964673E-2</v>
      </c>
      <c r="T51" s="15">
        <v>840038.95340833359</v>
      </c>
      <c r="U51" s="2">
        <f>+T51/$AV$48</f>
        <v>0.13834704598231859</v>
      </c>
      <c r="V51" s="15">
        <v>835531.84955162962</v>
      </c>
      <c r="W51" s="2">
        <f t="shared" si="86"/>
        <v>0.25658503956108142</v>
      </c>
      <c r="X51" s="15">
        <v>855761.16446121794</v>
      </c>
      <c r="Y51" s="2">
        <f t="shared" si="87"/>
        <v>0.25564209954236067</v>
      </c>
      <c r="Z51" s="15">
        <v>1043452.685436</v>
      </c>
      <c r="AA51" s="2">
        <f>+Z51/$Z$48</f>
        <v>0.28590319837802142</v>
      </c>
      <c r="AB51" s="15">
        <v>1025700.2976109042</v>
      </c>
      <c r="AC51" s="2">
        <f>+AB51/$AV$48</f>
        <v>0.1689238405694222</v>
      </c>
      <c r="AD51" s="15">
        <v>991403.83528979518</v>
      </c>
      <c r="AE51" s="2">
        <f>+AD51/$AD$48</f>
        <v>0.28486415472952537</v>
      </c>
      <c r="AF51" s="15">
        <v>1019080.5638726756</v>
      </c>
      <c r="AG51" s="2">
        <f t="shared" si="88"/>
        <v>0.2929790625730202</v>
      </c>
      <c r="AH51" s="15">
        <v>1209186.4335170412</v>
      </c>
      <c r="AI51" s="15">
        <f>+AH51/$AH$48</f>
        <v>0.27322597455269565</v>
      </c>
      <c r="AJ51" s="15">
        <v>1210186.8661933565</v>
      </c>
      <c r="AK51" s="15">
        <f t="shared" si="89"/>
        <v>0.2715011019380944</v>
      </c>
      <c r="AL51" s="15">
        <v>1699829.3023602688</v>
      </c>
      <c r="AM51" s="15">
        <f>+AL51/$AL$48</f>
        <v>0.35300467794820006</v>
      </c>
      <c r="AN51" s="15">
        <v>2063503.645790576</v>
      </c>
      <c r="AO51" s="15">
        <f t="shared" si="90"/>
        <v>0.38763676077549991</v>
      </c>
      <c r="AP51" s="15">
        <v>2114346.772539366</v>
      </c>
      <c r="AQ51" s="2">
        <f t="shared" si="91"/>
        <v>0.38762257562011126</v>
      </c>
      <c r="AR51" s="15">
        <v>2248606.4638399999</v>
      </c>
      <c r="AS51" s="2">
        <f t="shared" si="92"/>
        <v>0.40365222093884529</v>
      </c>
      <c r="AT51" s="15">
        <v>2482665.263916159</v>
      </c>
      <c r="AU51" s="2">
        <f t="shared" si="93"/>
        <v>0.42068328388702059</v>
      </c>
      <c r="AV51" s="15">
        <v>2680325.89824</v>
      </c>
      <c r="AW51" s="2">
        <f>+AV51/$AV$48</f>
        <v>0.44142616099751214</v>
      </c>
      <c r="AX51" s="15">
        <v>2950083.4468753194</v>
      </c>
      <c r="AY51" s="2">
        <f>+AX51/$AX$48</f>
        <v>0.46806969250614411</v>
      </c>
      <c r="AZ51" s="15">
        <v>3426605.4331739265</v>
      </c>
      <c r="BA51" s="2">
        <f>+AZ51/$AX$48</f>
        <v>0.54367619775108966</v>
      </c>
      <c r="BB51" s="3">
        <f t="shared" si="1"/>
        <v>0.16152830754781922</v>
      </c>
      <c r="BC51" s="15">
        <v>3714881.0262261247</v>
      </c>
      <c r="BD51" s="2">
        <f>+BC51/$BC$48</f>
        <v>0.56825619251117576</v>
      </c>
      <c r="BE51" s="3">
        <f t="shared" si="4"/>
        <v>8.4128621947925919E-2</v>
      </c>
      <c r="BF51" s="15">
        <v>3572122.558952427</v>
      </c>
      <c r="BG51" s="2">
        <f>+BF51/$BF$48</f>
        <v>0.61257423986885451</v>
      </c>
      <c r="BH51" s="3">
        <f>+(BF51-BC51)/BC51</f>
        <v>-3.842881273070628E-2</v>
      </c>
      <c r="BI51" s="15">
        <v>3577104.3155791736</v>
      </c>
      <c r="BJ51" s="2">
        <f>+BI51/$BI$48</f>
        <v>0.5779651997430576</v>
      </c>
      <c r="BK51" s="3">
        <f>+(BI51-BF51)/BF51</f>
        <v>1.3946208576358545E-3</v>
      </c>
      <c r="BL51" s="15">
        <v>3245400.4124174109</v>
      </c>
      <c r="BM51" s="2">
        <f>+BL51/$BL$48</f>
        <v>0.60589922738969093</v>
      </c>
      <c r="BN51" s="3">
        <f>+(BL51-BI51)/BI51</f>
        <v>-9.2729726029266255E-2</v>
      </c>
      <c r="BO51" s="15">
        <v>3272202.1612227308</v>
      </c>
      <c r="BP51" s="2">
        <f>+BO51/$BL$48</f>
        <v>0.61090297325467025</v>
      </c>
      <c r="BQ51" s="3">
        <f>+(BO51-BL51)/BL51</f>
        <v>8.2583796756702799E-3</v>
      </c>
      <c r="BR51" s="15">
        <v>3355718.3639920326</v>
      </c>
      <c r="BS51" s="2">
        <f>+BR51/$BR$48</f>
        <v>0.58857763747921121</v>
      </c>
      <c r="BT51" s="3">
        <f>+(BR51-BO51)/BO51</f>
        <v>2.5522934908793701E-2</v>
      </c>
      <c r="BU51" s="15">
        <v>3252182.0495163775</v>
      </c>
      <c r="BV51" s="2">
        <f>+BU51/$BU$48</f>
        <v>0.50575615035537458</v>
      </c>
      <c r="BW51" s="3">
        <f>+(BU51-BR51)/BR51</f>
        <v>-3.085369606300516E-2</v>
      </c>
      <c r="BX51" s="15">
        <v>3454289.3003358007</v>
      </c>
      <c r="BY51" s="2">
        <f>+BX51/$BX$48</f>
        <v>0.52683023157315978</v>
      </c>
      <c r="BZ51" s="3">
        <f>+(BX51-BU51)/BU51</f>
        <v>6.2145122180192226E-2</v>
      </c>
      <c r="CA51" s="15">
        <v>3880890.6550523974</v>
      </c>
      <c r="CB51" s="2">
        <f>+CA51/$CA$48</f>
        <v>0.52383627571009306</v>
      </c>
      <c r="CC51" s="3">
        <f>+(CA51-BX51)/BX51</f>
        <v>0.12349902327958623</v>
      </c>
      <c r="CD51" s="15">
        <v>3800558.4708881606</v>
      </c>
      <c r="CE51" s="2">
        <f>+CD51/$CD$48</f>
        <v>0.54298197142795324</v>
      </c>
      <c r="CF51" s="3">
        <f>+(CD51-CA51)/CA51</f>
        <v>-2.0699419618961712E-2</v>
      </c>
      <c r="CG51" s="15">
        <v>3646206.8541803313</v>
      </c>
      <c r="CH51" s="2">
        <f>+CG51/$CG$48</f>
        <v>0.54145824160279754</v>
      </c>
      <c r="CI51" s="3">
        <f>+(CG51-CD51)/CD51</f>
        <v>-4.061287778892099E-2</v>
      </c>
      <c r="CJ51" s="15">
        <v>3587304.2238242351</v>
      </c>
      <c r="CK51" s="2">
        <f>+CJ51/$CJ$48</f>
        <v>0.50014648487602298</v>
      </c>
      <c r="CL51" s="3">
        <f>+(CJ51-CG51)/CG51</f>
        <v>-1.6154494989379185E-2</v>
      </c>
    </row>
    <row r="52" spans="2:90" x14ac:dyDescent="0.35">
      <c r="B52" s="13"/>
      <c r="C52" s="13"/>
      <c r="D52" s="15"/>
      <c r="E52" s="2"/>
      <c r="F52" s="15"/>
      <c r="G52" s="2"/>
      <c r="H52" s="15"/>
      <c r="I52" s="2"/>
      <c r="J52" s="16"/>
      <c r="K52" s="15"/>
      <c r="L52" s="2"/>
      <c r="M52" s="16"/>
      <c r="N52" s="15"/>
      <c r="O52" s="2"/>
      <c r="P52" s="16"/>
      <c r="Q52" s="15"/>
      <c r="R52" s="2"/>
      <c r="S52" s="16"/>
      <c r="T52" s="15"/>
      <c r="U52" s="2"/>
      <c r="V52" s="15"/>
      <c r="W52" s="2"/>
      <c r="X52" s="15"/>
      <c r="Y52" s="2"/>
      <c r="Z52" s="15"/>
      <c r="AA52" s="2"/>
      <c r="AB52" s="15"/>
      <c r="AC52" s="2"/>
      <c r="AD52" s="15"/>
      <c r="AE52" s="2"/>
      <c r="AF52" s="15"/>
      <c r="AG52" s="2"/>
      <c r="AH52" s="15"/>
      <c r="AI52" s="15"/>
      <c r="AJ52" s="15"/>
      <c r="AK52" s="15"/>
      <c r="AL52" s="15"/>
      <c r="AM52" s="15"/>
      <c r="AN52" s="15"/>
      <c r="AO52" s="15"/>
      <c r="AP52" s="15"/>
      <c r="AQ52" s="2"/>
      <c r="AR52" s="15"/>
      <c r="AS52" s="2"/>
      <c r="AT52" s="15"/>
      <c r="AU52" s="2"/>
      <c r="AV52" s="15"/>
      <c r="AW52" s="2"/>
      <c r="AX52" s="15"/>
      <c r="AY52" s="2"/>
      <c r="AZ52" s="15"/>
      <c r="BA52" s="2"/>
      <c r="BB52" s="3"/>
      <c r="BC52" s="15"/>
      <c r="BD52" s="2"/>
      <c r="BE52" s="3"/>
      <c r="BF52" s="15"/>
      <c r="BG52" s="2"/>
      <c r="BH52" s="3"/>
      <c r="BI52" s="15"/>
      <c r="BJ52" s="2"/>
      <c r="BK52" s="3"/>
      <c r="BL52" s="15"/>
      <c r="BM52" s="2"/>
      <c r="BN52" s="3"/>
      <c r="BO52" s="3"/>
      <c r="BP52" s="2"/>
      <c r="BQ52" s="3"/>
      <c r="BR52" s="15"/>
      <c r="BS52" s="2"/>
      <c r="BT52" s="3"/>
      <c r="BU52" s="15"/>
      <c r="BV52" s="2"/>
      <c r="BW52" s="3"/>
      <c r="BX52" s="15"/>
      <c r="BY52" s="2"/>
      <c r="BZ52" s="3"/>
      <c r="CA52" s="15"/>
      <c r="CB52" s="2"/>
      <c r="CC52" s="3"/>
      <c r="CD52" s="15"/>
      <c r="CE52" s="2"/>
      <c r="CF52" s="3"/>
      <c r="CG52" s="15"/>
      <c r="CH52" s="2"/>
      <c r="CI52" s="3"/>
      <c r="CJ52" s="15"/>
      <c r="CK52" s="2"/>
      <c r="CL52" s="3"/>
    </row>
    <row r="53" spans="2:90" x14ac:dyDescent="0.3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6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5"/>
      <c r="AI53" s="15"/>
      <c r="AJ53" s="15"/>
      <c r="AK53" s="15"/>
      <c r="AL53" s="15"/>
      <c r="AM53" s="15"/>
      <c r="AN53" s="15"/>
      <c r="AO53" s="15"/>
      <c r="AP53" s="15"/>
      <c r="AQ53" s="2"/>
      <c r="AR53" s="15"/>
      <c r="AS53" s="2"/>
      <c r="AT53" s="15"/>
      <c r="AU53" s="2"/>
      <c r="AV53" s="15"/>
      <c r="AW53" s="2"/>
      <c r="AX53" s="15"/>
      <c r="AY53" s="2"/>
      <c r="AZ53" s="15"/>
      <c r="BA53" s="2"/>
      <c r="BB53" s="3"/>
      <c r="BC53" s="15"/>
      <c r="BD53" s="2"/>
      <c r="BE53" s="3"/>
      <c r="BF53" s="15"/>
      <c r="BG53" s="2"/>
      <c r="BH53" s="3"/>
      <c r="BI53" s="15"/>
      <c r="BJ53" s="2"/>
      <c r="BK53" s="3"/>
      <c r="BL53" s="15"/>
      <c r="BM53" s="2"/>
      <c r="BN53" s="3"/>
      <c r="BO53" s="3"/>
      <c r="BP53" s="2"/>
      <c r="BQ53" s="3"/>
      <c r="BR53" s="15"/>
      <c r="BS53" s="2"/>
      <c r="BT53" s="3"/>
      <c r="BU53" s="15"/>
      <c r="BV53" s="2"/>
      <c r="BW53" s="3"/>
      <c r="BX53" s="15"/>
      <c r="BY53" s="2"/>
      <c r="BZ53" s="3"/>
      <c r="CA53" s="15"/>
      <c r="CB53" s="2"/>
      <c r="CC53" s="3"/>
      <c r="CD53" s="15"/>
      <c r="CE53" s="2"/>
      <c r="CF53" s="3"/>
      <c r="CG53" s="15"/>
      <c r="CH53" s="2"/>
      <c r="CI53" s="3"/>
      <c r="CJ53" s="15"/>
      <c r="CK53" s="2"/>
      <c r="CL53" s="3"/>
    </row>
    <row r="54" spans="2:90" x14ac:dyDescent="0.35">
      <c r="B54" s="29" t="s">
        <v>10</v>
      </c>
      <c r="C54" s="1"/>
      <c r="D54" s="41">
        <f>+D46+D48+D45</f>
        <v>3063576.5517175044</v>
      </c>
      <c r="E54" s="42">
        <v>0.22383436992274824</v>
      </c>
      <c r="F54" s="41">
        <f>+F46+F48+F45</f>
        <v>3224970.4368000003</v>
      </c>
      <c r="G54" s="42">
        <v>0.22978586655081037</v>
      </c>
      <c r="H54" s="41">
        <f>+H46+H48+H45</f>
        <v>3251884.0627000001</v>
      </c>
      <c r="I54" s="42">
        <v>0.22192363524893444</v>
      </c>
      <c r="J54" s="16">
        <f t="shared" ref="J54" si="95">(+H54-F54)/F54</f>
        <v>8.3453868577800377E-3</v>
      </c>
      <c r="K54" s="41">
        <f>+K46+K48+K45</f>
        <v>3338693.9169723243</v>
      </c>
      <c r="L54" s="42">
        <v>0.22180869290260227</v>
      </c>
      <c r="M54" s="16">
        <f>(+K54-H54)/F54</f>
        <v>2.69180310249485E-2</v>
      </c>
      <c r="N54" s="41">
        <f>+N46+N48+N45</f>
        <v>3346439.8521007998</v>
      </c>
      <c r="O54" s="42">
        <v>0.21510733569409965</v>
      </c>
      <c r="P54" s="16">
        <f>(+N54-H54)/H54</f>
        <v>2.907723263734413E-2</v>
      </c>
      <c r="Q54" s="41">
        <f>+Q46+Q48+Q45</f>
        <v>3373923.0970827467</v>
      </c>
      <c r="R54" s="42">
        <v>0.20999656481098833</v>
      </c>
      <c r="S54" s="16">
        <f>(+Q54-K54)/K54</f>
        <v>1.055178491545275E-2</v>
      </c>
      <c r="T54" s="41">
        <f>+T46+T48+T45</f>
        <v>3353177.8875834006</v>
      </c>
      <c r="U54" s="42">
        <f>+T54/T56</f>
        <v>0.19933999036311015</v>
      </c>
      <c r="V54" s="41">
        <f>+V46+V48+V45</f>
        <v>3348555.9386659455</v>
      </c>
      <c r="W54" s="42">
        <f>+V54/V56</f>
        <v>0.19514747875275265</v>
      </c>
      <c r="X54" s="41">
        <f>+X46+X48+X45</f>
        <v>3440326.1483980524</v>
      </c>
      <c r="Y54" s="42">
        <f>+X54/X56</f>
        <v>0.19017437866515918</v>
      </c>
      <c r="Z54" s="41">
        <f>+Z46+Z48+Z45</f>
        <v>3746127.7945086756</v>
      </c>
      <c r="AA54" s="42">
        <f>+Z54/Z56</f>
        <v>0.20164386382528116</v>
      </c>
      <c r="AB54" s="41">
        <f>+AB46+AB48+AB45</f>
        <v>3684049.3085364252</v>
      </c>
      <c r="AC54" s="42">
        <f>+AB54/AB56</f>
        <v>0.18947043136851596</v>
      </c>
      <c r="AD54" s="41">
        <f>+AD46+AD48+AD45</f>
        <v>3569901.8514177375</v>
      </c>
      <c r="AE54" s="42">
        <f>+AD54/AD56</f>
        <v>0.18153050521651351</v>
      </c>
      <c r="AF54" s="41">
        <f>+AF46+AF48+AF45</f>
        <v>3591753.4424112537</v>
      </c>
      <c r="AG54" s="42">
        <f>+AF54/AF56</f>
        <v>0.17861795871078429</v>
      </c>
      <c r="AH54" s="43">
        <f>+AH46+AH48+AH45</f>
        <v>4635918.8608771665</v>
      </c>
      <c r="AI54" s="43">
        <f>+AH54/AH56</f>
        <v>0.21849962033432097</v>
      </c>
      <c r="AJ54" s="43">
        <f>+AJ46+AJ48+AJ45</f>
        <v>4669843.2243230306</v>
      </c>
      <c r="AK54" s="43">
        <f>+AJ54/AJ56</f>
        <v>0.21545354852314136</v>
      </c>
      <c r="AL54" s="43">
        <f>+AL46+AL48+AL45</f>
        <v>5190488.4783925666</v>
      </c>
      <c r="AM54" s="43">
        <f>+AL54/AL56</f>
        <v>0.23308459300066514</v>
      </c>
      <c r="AN54" s="43">
        <f>+AN46+AN48+AN45</f>
        <v>5641250.9427224053</v>
      </c>
      <c r="AO54" s="43">
        <f>+AN54/AN56</f>
        <v>0.23665700932548844</v>
      </c>
      <c r="AP54" s="43">
        <f>+AP46+AP48+AP45</f>
        <v>5761495.765919066</v>
      </c>
      <c r="AQ54" s="44">
        <f>+AP54/AP56</f>
        <v>0.23726897583890913</v>
      </c>
      <c r="AR54" s="43">
        <f>+AR46+AR48+AR45</f>
        <v>5876895.9010399999</v>
      </c>
      <c r="AS54" s="44">
        <f>+AR54/AR56</f>
        <v>0.23151899056014585</v>
      </c>
      <c r="AT54" s="43">
        <f>+AT46+AT48+AT45</f>
        <v>6166594.8876216626</v>
      </c>
      <c r="AU54" s="44">
        <f>+AT54/AT56</f>
        <v>0.23512667978099908</v>
      </c>
      <c r="AV54" s="43">
        <f>+AV46+AV48+AV45</f>
        <v>6421421.7969340179</v>
      </c>
      <c r="AW54" s="44">
        <f>+AV54/AV56</f>
        <v>0.23596246342200389</v>
      </c>
      <c r="AX54" s="43">
        <f>+AX46+AX48+AX45</f>
        <v>6778859.1350695379</v>
      </c>
      <c r="AY54" s="44">
        <f>+AX54/AX56</f>
        <v>0.24856490241049189</v>
      </c>
      <c r="AZ54" s="43">
        <f>+AZ46+AZ48+AZ45</f>
        <v>7400702.3778302986</v>
      </c>
      <c r="BA54" s="44">
        <f>+AZ54/AZ56</f>
        <v>0.26019057024882791</v>
      </c>
      <c r="BB54" s="3">
        <f t="shared" si="1"/>
        <v>9.1732728232061397E-2</v>
      </c>
      <c r="BC54" s="43">
        <f>+BC46+BC48+BC45</f>
        <v>7836595.6625104258</v>
      </c>
      <c r="BD54" s="44">
        <f>+BC54/BC56</f>
        <v>0.27102869526230877</v>
      </c>
      <c r="BE54" s="3">
        <f t="shared" si="4"/>
        <v>5.8898907485578446E-2</v>
      </c>
      <c r="BF54" s="43">
        <f>+BF46+BF48+BF45</f>
        <v>7319228.336085489</v>
      </c>
      <c r="BG54" s="44">
        <f>+BF54/BF56</f>
        <v>0.25928173813602223</v>
      </c>
      <c r="BH54" s="3">
        <f>+(BF54-BC54)/BC54</f>
        <v>-6.6019397797946355E-2</v>
      </c>
      <c r="BI54" s="43">
        <f>+BI46+BI48+BI45</f>
        <v>7209746.4500031061</v>
      </c>
      <c r="BJ54" s="44">
        <f>+BI54/BI56</f>
        <v>0.25545168218076397</v>
      </c>
      <c r="BK54" s="3">
        <f>+(BI54-BF54)/BF54</f>
        <v>-1.4958118677977547E-2</v>
      </c>
      <c r="BL54" s="43">
        <f>+BL46+BL48+BL45</f>
        <v>6022011.1268390324</v>
      </c>
      <c r="BM54" s="44">
        <f>+BL54/BL56</f>
        <v>0.22029858541559569</v>
      </c>
      <c r="BN54" s="3">
        <f>+(BL54-BI54)/BI54</f>
        <v>-0.16474023481970881</v>
      </c>
      <c r="BO54" s="43">
        <f>+BO46+BO48+BO45</f>
        <v>6894077.1809913917</v>
      </c>
      <c r="BP54" s="44">
        <f>+BO54/BO56</f>
        <v>0.24077217446565927</v>
      </c>
      <c r="BQ54" s="3">
        <f>+(BO54-BL54)/BL54</f>
        <v>0.14481309246768342</v>
      </c>
      <c r="BR54" s="43">
        <f>+BR46+BR48+BR45</f>
        <v>6933560.2166167255</v>
      </c>
      <c r="BS54" s="44">
        <f>+BR54/BR56</f>
        <v>0.24559008302545665</v>
      </c>
      <c r="BT54" s="3">
        <f>+(BR54-BO54)/BO54</f>
        <v>5.7270950975422796E-3</v>
      </c>
      <c r="BU54" s="43">
        <f>+BU46+BU48+BU45</f>
        <v>7538581.4496026756</v>
      </c>
      <c r="BV54" s="44">
        <f>+BU54/BU56</f>
        <v>0.26209956427291053</v>
      </c>
      <c r="BW54" s="3">
        <f>+(BU54-BR54)/BR54</f>
        <v>8.725982238330858E-2</v>
      </c>
      <c r="BX54" s="43">
        <f>+BX46+BX48+BX45</f>
        <v>7577080.4288696861</v>
      </c>
      <c r="BY54" s="44">
        <f>+BX54/BX56</f>
        <v>0.26618713584072595</v>
      </c>
      <c r="BZ54" s="3">
        <f>+(BX54-BU54)/BU54</f>
        <v>5.106926220056901E-3</v>
      </c>
      <c r="CA54" s="43">
        <f>+CA46+CA48+CA45</f>
        <v>8203116.3904289175</v>
      </c>
      <c r="CB54" s="44">
        <f>+CA54/CA56</f>
        <v>0.28081901898312001</v>
      </c>
      <c r="CC54" s="3">
        <f>+(CA54-BX54)/BX54</f>
        <v>8.2622319696376845E-2</v>
      </c>
      <c r="CD54" s="43">
        <f>+CD46+CD48+CD45</f>
        <v>8047410.9182077562</v>
      </c>
      <c r="CE54" s="44">
        <f>+CD54/CD56</f>
        <v>0.27505762289463331</v>
      </c>
      <c r="CF54" s="3">
        <f>+(CD54-CA54)/CA54</f>
        <v>-1.8981258440125565E-2</v>
      </c>
      <c r="CG54" s="43">
        <f>+CG46+CG48+CG45</f>
        <v>7817765.7610065956</v>
      </c>
      <c r="CH54" s="44">
        <f>+CG54/CG56</f>
        <v>0.26637757948704216</v>
      </c>
      <c r="CI54" s="3">
        <f>+(CG54-CD54)/CD54</f>
        <v>-2.8536526782989863E-2</v>
      </c>
      <c r="CJ54" s="43">
        <f>+CJ46+CJ48+CJ45</f>
        <v>7696592.8984335912</v>
      </c>
      <c r="CK54" s="44">
        <f>+CJ54/CJ56</f>
        <v>0.26061716365478643</v>
      </c>
      <c r="CL54" s="3">
        <f>+(CJ54-CG54)/CG54</f>
        <v>-1.5499679355627358E-2</v>
      </c>
    </row>
    <row r="55" spans="2:90" x14ac:dyDescent="0.3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6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5"/>
      <c r="AI55" s="15"/>
      <c r="AJ55" s="15"/>
      <c r="AK55" s="15"/>
      <c r="AL55" s="15"/>
      <c r="AM55" s="15"/>
      <c r="AN55" s="15"/>
      <c r="AO55" s="15"/>
      <c r="AP55" s="15"/>
      <c r="AQ55" s="2"/>
      <c r="AR55" s="15"/>
      <c r="AS55" s="2"/>
      <c r="AT55" s="15"/>
      <c r="AU55" s="2"/>
      <c r="AV55" s="15"/>
      <c r="AW55" s="2"/>
      <c r="AX55" s="15"/>
      <c r="AY55" s="2"/>
      <c r="AZ55" s="15"/>
      <c r="BA55" s="2"/>
      <c r="BB55" s="3"/>
      <c r="BC55" s="15"/>
      <c r="BD55" s="2"/>
      <c r="BE55" s="3"/>
      <c r="BF55" s="15"/>
      <c r="BG55" s="2"/>
      <c r="BH55" s="3"/>
      <c r="BI55" s="15"/>
      <c r="BJ55" s="2"/>
      <c r="BK55" s="3"/>
      <c r="BL55" s="15"/>
      <c r="BM55" s="2"/>
      <c r="BN55" s="3"/>
      <c r="BO55" s="3"/>
      <c r="BP55" s="2"/>
      <c r="BQ55" s="3"/>
      <c r="BR55" s="15"/>
      <c r="BS55" s="2"/>
      <c r="BT55" s="3"/>
      <c r="BU55" s="15"/>
      <c r="BV55" s="2"/>
      <c r="BW55" s="3"/>
      <c r="BX55" s="15"/>
      <c r="BY55" s="2"/>
      <c r="BZ55" s="3"/>
      <c r="CA55" s="15"/>
      <c r="CB55" s="2"/>
      <c r="CC55" s="3"/>
      <c r="CD55" s="15"/>
      <c r="CE55" s="2"/>
      <c r="CF55" s="3"/>
      <c r="CG55" s="15"/>
      <c r="CH55" s="2"/>
      <c r="CI55" s="3"/>
      <c r="CJ55" s="15">
        <f>+CJ54-'[1]Saldo de Deuda'!$BD$12</f>
        <v>0</v>
      </c>
      <c r="CK55" s="2"/>
      <c r="CL55" s="3"/>
    </row>
    <row r="56" spans="2:90" x14ac:dyDescent="0.35">
      <c r="B56" s="99" t="s">
        <v>11</v>
      </c>
      <c r="C56" s="99"/>
      <c r="D56" s="45">
        <f>+D54+D38</f>
        <v>13686801.328923855</v>
      </c>
      <c r="E56" s="46">
        <f>+E38+E54</f>
        <v>1</v>
      </c>
      <c r="F56" s="45">
        <f>+F54+F38</f>
        <v>14034677.089623757</v>
      </c>
      <c r="G56" s="46">
        <f>+G38+G54</f>
        <v>1</v>
      </c>
      <c r="H56" s="45">
        <f>+H54+H38</f>
        <v>14653166.883519741</v>
      </c>
      <c r="I56" s="46">
        <f>+I38+I54</f>
        <v>1</v>
      </c>
      <c r="J56" s="46">
        <f>(+H56-F56)/F56</f>
        <v>4.4068687148723321E-2</v>
      </c>
      <c r="K56" s="45">
        <f>+K54+K38</f>
        <v>15052132.868563306</v>
      </c>
      <c r="L56" s="46">
        <f>+L38+L54</f>
        <v>1</v>
      </c>
      <c r="M56" s="46">
        <f>(+K56-H56)/H56</f>
        <v>2.7227287330787008E-2</v>
      </c>
      <c r="N56" s="45">
        <f>+N54+N38</f>
        <v>15557069.87538404</v>
      </c>
      <c r="O56" s="46">
        <f>+O38+O54</f>
        <v>1</v>
      </c>
      <c r="P56" s="46">
        <f>(+N56-H56)/H56</f>
        <v>6.1686528178486071E-2</v>
      </c>
      <c r="Q56" s="45">
        <f>+Q54+Q38</f>
        <v>16066563.279830385</v>
      </c>
      <c r="R56" s="46">
        <f>+R38+R54</f>
        <v>1</v>
      </c>
      <c r="S56" s="46">
        <f>(+Q56-K56)/K56</f>
        <v>6.7394462972469413E-2</v>
      </c>
      <c r="T56" s="45">
        <f>+T54+T38</f>
        <v>16821400.871322304</v>
      </c>
      <c r="U56" s="46">
        <f>+U38+U54</f>
        <v>1</v>
      </c>
      <c r="V56" s="45">
        <f>+V54+V38</f>
        <v>17159104.283937424</v>
      </c>
      <c r="W56" s="46">
        <f>+W38+W54</f>
        <v>0.99999999999999989</v>
      </c>
      <c r="X56" s="45">
        <f>+X54+X38</f>
        <v>18090376.698195759</v>
      </c>
      <c r="Y56" s="46">
        <f>+Y38+Y54</f>
        <v>1</v>
      </c>
      <c r="Z56" s="45">
        <f>+Z54+Z38</f>
        <v>18577940.947186928</v>
      </c>
      <c r="AA56" s="46">
        <f>+AA38+AA54</f>
        <v>1</v>
      </c>
      <c r="AB56" s="45">
        <f>+AB54+AB38</f>
        <v>19443927.381845813</v>
      </c>
      <c r="AC56" s="46">
        <f>+AC38+AC54</f>
        <v>1</v>
      </c>
      <c r="AD56" s="45">
        <f>+AD54+AD38</f>
        <v>19665575.475371893</v>
      </c>
      <c r="AE56" s="46">
        <f>+AE38+AE54</f>
        <v>0.99999999999999989</v>
      </c>
      <c r="AF56" s="45">
        <f>+AF54+AF38</f>
        <v>20108579.609438773</v>
      </c>
      <c r="AG56" s="46">
        <f>+AG38+AG54</f>
        <v>1</v>
      </c>
      <c r="AH56" s="45">
        <f>+AH54+AH38</f>
        <v>21217056.825013515</v>
      </c>
      <c r="AI56" s="46">
        <f>+AI38+AI54</f>
        <v>1</v>
      </c>
      <c r="AJ56" s="45">
        <f>+AJ54+AJ38</f>
        <v>21674478.124557108</v>
      </c>
      <c r="AK56" s="46">
        <f>+AK38+AK54</f>
        <v>1</v>
      </c>
      <c r="AL56" s="45">
        <f>+AL54+AL38</f>
        <v>22268689.712913606</v>
      </c>
      <c r="AM56" s="46">
        <f>+AM38+AM54</f>
        <v>1</v>
      </c>
      <c r="AN56" s="45">
        <f>+AN54+AN38</f>
        <v>23837244.283619158</v>
      </c>
      <c r="AO56" s="46">
        <f>+AO38+AO54</f>
        <v>1</v>
      </c>
      <c r="AP56" s="45">
        <f>+AP54+AP38</f>
        <v>24282549.985931423</v>
      </c>
      <c r="AQ56" s="47">
        <f>+AQ38+AQ54</f>
        <v>1</v>
      </c>
      <c r="AR56" s="45">
        <f>+AR54+AR38</f>
        <v>25384077.076447226</v>
      </c>
      <c r="AS56" s="47">
        <f>+AS38+AS54</f>
        <v>1</v>
      </c>
      <c r="AT56" s="45">
        <f>+AT54+AT38</f>
        <v>26226691.472721566</v>
      </c>
      <c r="AU56" s="47">
        <f>+AU38+AU54</f>
        <v>1</v>
      </c>
      <c r="AV56" s="45">
        <f>+AV54+AV38</f>
        <v>27213742.829297863</v>
      </c>
      <c r="AW56" s="47">
        <f>+AW38+AW54</f>
        <v>0.99999999999999989</v>
      </c>
      <c r="AX56" s="45">
        <f>+AX54+AX38</f>
        <v>27271988.399531193</v>
      </c>
      <c r="AY56" s="47">
        <f>+AY38+AY54</f>
        <v>1</v>
      </c>
      <c r="AZ56" s="45">
        <f>+AZ54+AZ38</f>
        <v>28443391.975169539</v>
      </c>
      <c r="BA56" s="47">
        <f>+BA38+BA54</f>
        <v>1</v>
      </c>
      <c r="BB56" s="48">
        <f>(+AZ56-AX56)/AX56</f>
        <v>4.2952628113411884E-2</v>
      </c>
      <c r="BC56" s="45">
        <f>+BC54+BC38</f>
        <v>28914265.535337355</v>
      </c>
      <c r="BD56" s="47">
        <f>+BD38+BD54</f>
        <v>1</v>
      </c>
      <c r="BE56" s="48">
        <f>(+BC56-AZ56)/AZ56</f>
        <v>1.6554761140263365E-2</v>
      </c>
      <c r="BF56" s="45">
        <f>+BF54+BF38</f>
        <v>28228861.734356843</v>
      </c>
      <c r="BG56" s="47">
        <f>+BG38+BG54</f>
        <v>1</v>
      </c>
      <c r="BH56" s="48">
        <f>(+BF56-BC56)/BC56</f>
        <v>-2.3704693454615022E-2</v>
      </c>
      <c r="BI56" s="45">
        <f>+BI54+BI38</f>
        <v>28223523.088414464</v>
      </c>
      <c r="BJ56" s="47">
        <f>+BJ38+BJ54</f>
        <v>1</v>
      </c>
      <c r="BK56" s="46">
        <f>(+BI56-BF56)/BF56</f>
        <v>-1.8912012792500303E-4</v>
      </c>
      <c r="BL56" s="45">
        <f>+BL54+BL38</f>
        <v>27335677.691613145</v>
      </c>
      <c r="BM56" s="47">
        <f>+BM38+BM54</f>
        <v>1</v>
      </c>
      <c r="BN56" s="46">
        <f>(+BL56-BI56)/BI56</f>
        <v>-3.1457638864574373E-2</v>
      </c>
      <c r="BO56" s="45">
        <f>+BO54+BO38</f>
        <v>28633197.321456581</v>
      </c>
      <c r="BP56" s="47">
        <f>+BP38+BP54</f>
        <v>0.99999999999999989</v>
      </c>
      <c r="BQ56" s="46">
        <f>(+BO56-BL56)/BL56</f>
        <v>4.746615922536751E-2</v>
      </c>
      <c r="BR56" s="45">
        <f>+BR54+BR38</f>
        <v>28232248.351404428</v>
      </c>
      <c r="BS56" s="47">
        <f>+BS38+BS54</f>
        <v>1</v>
      </c>
      <c r="BT56" s="46">
        <f>(+BR56-BO56)/BO56</f>
        <v>-1.4002940906347809E-2</v>
      </c>
      <c r="BU56" s="45">
        <f>+BU54+BU38</f>
        <v>28762281.50365464</v>
      </c>
      <c r="BV56" s="47">
        <f>+BV38+BV54</f>
        <v>1</v>
      </c>
      <c r="BW56" s="46">
        <f>(+BU56-BR56)/BR56</f>
        <v>1.8774032647096806E-2</v>
      </c>
      <c r="BX56" s="45">
        <f>+BX54+BX38</f>
        <v>28465238.956564225</v>
      </c>
      <c r="BY56" s="47">
        <f>+BY38+BY54</f>
        <v>1</v>
      </c>
      <c r="BZ56" s="46">
        <f>(+BX56-BU56)/BU56</f>
        <v>-1.0327502950441244E-2</v>
      </c>
      <c r="CA56" s="45">
        <f>+CA54+CA38</f>
        <v>29211398.92922283</v>
      </c>
      <c r="CB56" s="47">
        <f>+CB38+CB54</f>
        <v>1</v>
      </c>
      <c r="CC56" s="46">
        <f>(+CA56-BX56)/BX56</f>
        <v>2.6213023322839039E-2</v>
      </c>
      <c r="CD56" s="45">
        <f>+CD54+CD38</f>
        <v>29257181.944346581</v>
      </c>
      <c r="CE56" s="47">
        <f>+CE38+CE54</f>
        <v>1</v>
      </c>
      <c r="CF56" s="46">
        <f>(+CD56-CA56)/CA56</f>
        <v>1.5672996433577196E-3</v>
      </c>
      <c r="CG56" s="45">
        <f>+CG54+CG38</f>
        <v>29348437.567685336</v>
      </c>
      <c r="CH56" s="47">
        <f>+CH38+CH54</f>
        <v>1</v>
      </c>
      <c r="CI56" s="46">
        <f>(+CG56-CD56)/CD56</f>
        <v>3.1190845212755946E-3</v>
      </c>
      <c r="CJ56" s="45">
        <f>+CJ54+CJ38</f>
        <v>29532179.655782383</v>
      </c>
      <c r="CK56" s="47">
        <f>+CK38+CK54</f>
        <v>1</v>
      </c>
      <c r="CL56" s="46">
        <f>(+CJ56-CG56)/CG56</f>
        <v>6.2607110744239362E-3</v>
      </c>
    </row>
    <row r="57" spans="2:90" x14ac:dyDescent="0.3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40"/>
      <c r="O57" s="1"/>
      <c r="P57" s="1"/>
      <c r="Q57" s="40"/>
      <c r="R57" s="1"/>
      <c r="S57" s="1"/>
      <c r="T57" s="40"/>
      <c r="U57" s="1"/>
      <c r="V57" s="40"/>
      <c r="W57" s="1"/>
      <c r="X57" s="40"/>
      <c r="Y57" s="1"/>
      <c r="Z57" s="40"/>
      <c r="AA57" s="1"/>
      <c r="AB57" s="40"/>
      <c r="AC57" s="1"/>
      <c r="AD57" s="40"/>
      <c r="AE57" s="1"/>
      <c r="AF57" s="40"/>
      <c r="AG57" s="1"/>
      <c r="AH57" s="40"/>
      <c r="AI57" s="1"/>
      <c r="AJ57" s="40"/>
      <c r="AK57" s="1"/>
      <c r="AL57" s="40"/>
      <c r="AM57" s="1"/>
      <c r="AN57" s="40"/>
      <c r="AO57" s="1"/>
      <c r="AP57" s="40"/>
      <c r="AQ57" s="2"/>
      <c r="AR57" s="40"/>
      <c r="AS57" s="2"/>
      <c r="AT57" s="40"/>
      <c r="AU57" s="2"/>
      <c r="AV57" s="40"/>
      <c r="AW57" s="2"/>
      <c r="AX57" s="40"/>
      <c r="AY57" s="2"/>
      <c r="AZ57" s="49"/>
      <c r="BA57" s="2"/>
      <c r="BB57" s="3"/>
      <c r="BC57" s="49"/>
      <c r="BD57" s="2"/>
      <c r="BE57" s="3"/>
      <c r="BF57" s="49"/>
      <c r="BG57" s="2"/>
      <c r="BH57" s="3"/>
      <c r="BI57" s="49"/>
      <c r="BJ57" s="2"/>
      <c r="BK57" s="3"/>
      <c r="BL57" s="49"/>
      <c r="BM57" s="2"/>
      <c r="BN57" s="3"/>
      <c r="BO57" s="3"/>
      <c r="BP57" s="3"/>
      <c r="BQ57" s="3"/>
      <c r="CD57" s="91">
        <f>29257181.94-CD56</f>
        <v>-4.3465793132781982E-3</v>
      </c>
    </row>
    <row r="58" spans="2:90" x14ac:dyDescent="0.35">
      <c r="B58" s="1"/>
      <c r="C58" s="1"/>
      <c r="D58" s="15"/>
      <c r="E58" s="15"/>
      <c r="F58" s="15"/>
      <c r="G58" s="15"/>
      <c r="H58" s="15"/>
      <c r="I58" s="1"/>
      <c r="J58" s="1"/>
      <c r="K58" s="15"/>
      <c r="L58" s="1"/>
      <c r="M58" s="1"/>
      <c r="N58" s="15"/>
      <c r="O58" s="1"/>
      <c r="P58" s="1"/>
      <c r="Q58" s="15"/>
      <c r="R58" s="1"/>
      <c r="S58" s="1"/>
      <c r="T58" s="15"/>
      <c r="U58" s="1"/>
      <c r="V58" s="15"/>
      <c r="W58" s="1"/>
      <c r="X58" s="15"/>
      <c r="Y58" s="1"/>
      <c r="Z58" s="15"/>
      <c r="AA58" s="1"/>
      <c r="AB58" s="15"/>
      <c r="AC58" s="1"/>
      <c r="AD58" s="15"/>
      <c r="AE58" s="1"/>
      <c r="AF58" s="15"/>
      <c r="AG58" s="1"/>
      <c r="AH58" s="15"/>
      <c r="AI58" s="1"/>
      <c r="AJ58" s="15"/>
      <c r="AK58" s="1"/>
      <c r="AL58" s="15"/>
      <c r="AM58" s="1"/>
      <c r="AN58" s="15"/>
      <c r="AO58" s="1"/>
      <c r="AP58" s="15"/>
      <c r="AQ58" s="2"/>
      <c r="AR58" s="15"/>
      <c r="AS58" s="2"/>
      <c r="AT58" s="15"/>
      <c r="AU58" s="2"/>
      <c r="AV58" s="15"/>
      <c r="AW58" s="2"/>
      <c r="AX58" s="15"/>
      <c r="AY58" s="2"/>
      <c r="AZ58" s="2"/>
      <c r="BA58" s="2"/>
      <c r="BB58" s="3"/>
      <c r="BC58" s="2"/>
      <c r="BD58" s="2"/>
      <c r="BE58" s="3"/>
      <c r="BF58" s="2"/>
      <c r="BG58" s="2"/>
      <c r="BH58" s="3"/>
      <c r="BI58" s="2"/>
      <c r="BJ58" s="2"/>
      <c r="BK58" s="3"/>
      <c r="BL58" s="2"/>
      <c r="BM58" s="2"/>
      <c r="BN58" s="3"/>
      <c r="BO58" s="15"/>
      <c r="BP58" s="3"/>
      <c r="BQ58" s="3"/>
      <c r="BR58" s="50"/>
      <c r="BU58" s="91">
        <f>+BU56/523.72</f>
        <v>54919.196333259446</v>
      </c>
      <c r="BV58" s="54"/>
      <c r="BW58" s="54"/>
      <c r="BX58" s="91">
        <f>+BX56/504.1</f>
        <v>56467.444865233534</v>
      </c>
      <c r="BY58" s="92"/>
      <c r="CA58" s="84"/>
      <c r="CD58" s="84"/>
      <c r="CG58" s="84"/>
      <c r="CJ58" s="84"/>
    </row>
    <row r="59" spans="2:90" x14ac:dyDescent="0.35">
      <c r="B59" s="51" t="s">
        <v>12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6"/>
      <c r="R59" s="1"/>
      <c r="S59" s="1"/>
      <c r="T59" s="16"/>
      <c r="U59" s="1"/>
      <c r="V59" s="16"/>
      <c r="W59" s="1"/>
      <c r="X59" s="16"/>
      <c r="Y59" s="1"/>
      <c r="Z59" s="16"/>
      <c r="AA59" s="1"/>
      <c r="AB59" s="16"/>
      <c r="AC59" s="1"/>
      <c r="AD59" s="16"/>
      <c r="AE59" s="1"/>
      <c r="AF59" s="16"/>
      <c r="AG59" s="1"/>
      <c r="AH59" s="16"/>
      <c r="AI59" s="1"/>
      <c r="AJ59" s="16"/>
      <c r="AK59" s="1"/>
      <c r="AL59" s="16"/>
      <c r="AM59" s="1"/>
      <c r="AN59" s="16"/>
      <c r="AO59" s="1"/>
      <c r="AP59" s="16"/>
      <c r="AQ59" s="2"/>
      <c r="AR59" s="16"/>
      <c r="AS59" s="2"/>
      <c r="AT59" s="16"/>
      <c r="AU59" s="2"/>
      <c r="AV59" s="16"/>
      <c r="AW59" s="2"/>
      <c r="AX59" s="3"/>
      <c r="AZ59" s="52"/>
      <c r="BB59" s="52"/>
      <c r="BC59" s="52"/>
      <c r="BE59" s="52"/>
      <c r="BF59" s="53">
        <f>+BF56/629.42</f>
        <v>44849.006600293673</v>
      </c>
      <c r="BH59" s="52"/>
      <c r="BI59" s="53">
        <f>+BI56/597.64</f>
        <v>47224.956643488498</v>
      </c>
      <c r="BJ59" s="54"/>
      <c r="BK59" s="53"/>
      <c r="BL59" s="53">
        <f>+BL56/543.31</f>
        <v>50313.2239266959</v>
      </c>
      <c r="BN59" s="52"/>
      <c r="BO59" s="52"/>
      <c r="BP59" s="52"/>
      <c r="BQ59" s="52"/>
      <c r="BU59" s="91">
        <f>+BU58-'Tenencia deuda bonificada GC $'!BU56</f>
        <v>2.5717543030623347E-4</v>
      </c>
      <c r="BV59" s="54"/>
      <c r="BW59" s="54"/>
      <c r="BX59" s="91">
        <f>+BX58-'Tenencia deuda bonificada GC $'!BX56</f>
        <v>0</v>
      </c>
      <c r="BY59" s="92"/>
      <c r="CA59" s="50"/>
      <c r="CD59" s="50"/>
      <c r="CF59" s="95"/>
      <c r="CG59" s="50"/>
      <c r="CJ59" s="50"/>
    </row>
    <row r="60" spans="2:90" x14ac:dyDescent="0.3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2"/>
      <c r="AR60" s="1"/>
      <c r="AS60" s="2"/>
      <c r="AT60" s="1"/>
      <c r="AU60" s="2"/>
      <c r="AV60" s="1"/>
      <c r="AW60" s="2"/>
      <c r="AX60" s="3"/>
      <c r="BF60" s="50"/>
      <c r="BI60" s="50"/>
      <c r="BL60" s="50"/>
      <c r="BU60" s="54"/>
      <c r="BV60" s="54"/>
      <c r="BW60" s="54"/>
      <c r="BX60" s="54"/>
      <c r="BY60" s="92"/>
      <c r="CJ60" s="50"/>
    </row>
    <row r="61" spans="2:90" x14ac:dyDescent="0.35">
      <c r="B61" s="51" t="s">
        <v>22</v>
      </c>
      <c r="C61" s="51"/>
      <c r="D61" s="51"/>
      <c r="E61" s="5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2"/>
      <c r="AR61" s="1"/>
      <c r="AS61" s="2"/>
      <c r="AT61" s="1"/>
      <c r="AU61" s="2"/>
      <c r="AV61" s="1"/>
      <c r="AW61" s="2"/>
      <c r="AX61" s="3"/>
      <c r="BU61" s="92"/>
      <c r="BV61" s="92"/>
      <c r="BW61" s="92"/>
      <c r="BX61" s="92"/>
      <c r="BY61" s="92"/>
    </row>
    <row r="62" spans="2:90" x14ac:dyDescent="0.35">
      <c r="B62" s="51" t="s">
        <v>25</v>
      </c>
      <c r="C62" s="51"/>
      <c r="D62" s="51"/>
      <c r="E62" s="5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2"/>
      <c r="AR62" s="1"/>
      <c r="AS62" s="2"/>
      <c r="AT62" s="1"/>
      <c r="AU62" s="2"/>
      <c r="AV62" s="1"/>
      <c r="AW62" s="2"/>
      <c r="AX62" s="3"/>
      <c r="BU62" s="92"/>
      <c r="BV62" s="92"/>
      <c r="BW62" s="92"/>
      <c r="BX62" s="92"/>
      <c r="BY62" s="92"/>
    </row>
    <row r="63" spans="2:90" x14ac:dyDescent="0.35">
      <c r="B63" s="51" t="s">
        <v>33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2"/>
      <c r="AR63" s="1"/>
      <c r="AS63" s="2"/>
      <c r="AT63" s="1"/>
      <c r="AU63" s="2"/>
      <c r="AV63" s="1"/>
      <c r="AW63" s="2"/>
      <c r="AX63" s="3"/>
    </row>
    <row r="64" spans="2:90" x14ac:dyDescent="0.35">
      <c r="B64" s="51" t="s">
        <v>30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2"/>
      <c r="AR64" s="1"/>
      <c r="AS64" s="2"/>
      <c r="AT64" s="1"/>
      <c r="AU64" s="2"/>
      <c r="AV64" s="1"/>
      <c r="AW64" s="2"/>
      <c r="AX64" s="3"/>
    </row>
    <row r="65" spans="2:50" x14ac:dyDescent="0.35">
      <c r="B65" s="51" t="s">
        <v>78</v>
      </c>
    </row>
    <row r="66" spans="2:50" x14ac:dyDescent="0.35">
      <c r="B66" s="57" t="s">
        <v>84</v>
      </c>
      <c r="AQ66" s="31"/>
      <c r="AS66" s="31"/>
      <c r="AU66" s="31"/>
      <c r="AW66" s="31"/>
      <c r="AX66" s="58"/>
    </row>
    <row r="67" spans="2:50" x14ac:dyDescent="0.35">
      <c r="B67" s="57" t="s">
        <v>73</v>
      </c>
    </row>
    <row r="68" spans="2:50" x14ac:dyDescent="0.35">
      <c r="B68" s="57" t="s">
        <v>72</v>
      </c>
    </row>
  </sheetData>
  <mergeCells count="13">
    <mergeCell ref="B7:C7"/>
    <mergeCell ref="B56:C56"/>
    <mergeCell ref="B11:C11"/>
    <mergeCell ref="B12:C12"/>
    <mergeCell ref="B36:C36"/>
    <mergeCell ref="B43:C43"/>
    <mergeCell ref="B44:C44"/>
    <mergeCell ref="B48:C48"/>
    <mergeCell ref="B6:AX6"/>
    <mergeCell ref="B2:CI2"/>
    <mergeCell ref="B3:CI3"/>
    <mergeCell ref="B4:CI4"/>
    <mergeCell ref="B5:C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L68"/>
  <sheetViews>
    <sheetView showGridLines="0" tabSelected="1" topLeftCell="B1" zoomScale="90" zoomScaleNormal="90" workbookViewId="0">
      <pane xSplit="70" ySplit="7" topLeftCell="CG8" activePane="bottomRight" state="frozen"/>
      <selection activeCell="B1" sqref="B1"/>
      <selection pane="topRight" activeCell="BT1" sqref="BT1"/>
      <selection pane="bottomLeft" activeCell="B8" sqref="B8"/>
      <selection pane="bottomRight" activeCell="CK1" sqref="CK1:CK1048576"/>
    </sheetView>
  </sheetViews>
  <sheetFormatPr baseColWidth="10" defaultRowHeight="15" outlineLevelCol="1" x14ac:dyDescent="0.35"/>
  <cols>
    <col min="1" max="1" width="0" style="4" hidden="1" customWidth="1"/>
    <col min="2" max="2" width="11.5546875" style="4"/>
    <col min="3" max="3" width="26.33203125" style="4" customWidth="1"/>
    <col min="4" max="4" width="13.44140625" style="4" hidden="1" customWidth="1" outlineLevel="1"/>
    <col min="5" max="5" width="8.44140625" style="4" hidden="1" customWidth="1" outlineLevel="1"/>
    <col min="6" max="6" width="13.44140625" style="4" hidden="1" customWidth="1" outlineLevel="1"/>
    <col min="7" max="7" width="8.44140625" style="4" hidden="1" customWidth="1" outlineLevel="1"/>
    <col min="8" max="8" width="13.44140625" style="4" hidden="1" customWidth="1" outlineLevel="1"/>
    <col min="9" max="9" width="8.44140625" style="4" hidden="1" customWidth="1" outlineLevel="1"/>
    <col min="10" max="10" width="9.6640625" style="4" hidden="1" customWidth="1" outlineLevel="1"/>
    <col min="11" max="11" width="13.44140625" style="4" hidden="1" customWidth="1" outlineLevel="1"/>
    <col min="12" max="12" width="8.44140625" style="4" hidden="1" customWidth="1" outlineLevel="1"/>
    <col min="13" max="13" width="13" style="4" hidden="1" customWidth="1" outlineLevel="1"/>
    <col min="14" max="14" width="13.44140625" style="4" hidden="1" customWidth="1" outlineLevel="1"/>
    <col min="15" max="15" width="8.44140625" style="4" hidden="1" customWidth="1" outlineLevel="1"/>
    <col min="16" max="16" width="9.6640625" style="4" hidden="1" customWidth="1" outlineLevel="1"/>
    <col min="17" max="17" width="13.44140625" style="4" hidden="1" customWidth="1" outlineLevel="1"/>
    <col min="18" max="18" width="8.44140625" style="4" hidden="1" customWidth="1" outlineLevel="1"/>
    <col min="19" max="19" width="9.6640625" style="4" hidden="1" customWidth="1" outlineLevel="1"/>
    <col min="20" max="20" width="13.44140625" style="4" hidden="1" customWidth="1" outlineLevel="1"/>
    <col min="21" max="21" width="8.44140625" style="4" hidden="1" customWidth="1" outlineLevel="1"/>
    <col min="22" max="22" width="13.44140625" style="4" hidden="1" customWidth="1" outlineLevel="1"/>
    <col min="23" max="23" width="8.44140625" style="4" hidden="1" customWidth="1" outlineLevel="1"/>
    <col min="24" max="24" width="13.44140625" style="4" hidden="1" customWidth="1" outlineLevel="1"/>
    <col min="25" max="25" width="8.44140625" style="4" hidden="1" customWidth="1" outlineLevel="1"/>
    <col min="26" max="26" width="13.44140625" style="4" hidden="1" customWidth="1" outlineLevel="1"/>
    <col min="27" max="27" width="8.44140625" style="4" hidden="1" customWidth="1" outlineLevel="1"/>
    <col min="28" max="28" width="13.44140625" style="4" hidden="1" customWidth="1" outlineLevel="1"/>
    <col min="29" max="29" width="8.44140625" style="4" hidden="1" customWidth="1" outlineLevel="1"/>
    <col min="30" max="30" width="13.44140625" style="4" hidden="1" customWidth="1" outlineLevel="1"/>
    <col min="31" max="31" width="8.44140625" style="4" hidden="1" customWidth="1" outlineLevel="1"/>
    <col min="32" max="32" width="13.44140625" style="4" hidden="1" customWidth="1" outlineLevel="1"/>
    <col min="33" max="33" width="8.44140625" style="4" hidden="1" customWidth="1" outlineLevel="1"/>
    <col min="34" max="34" width="13.44140625" style="4" hidden="1" customWidth="1" outlineLevel="1"/>
    <col min="35" max="35" width="8.44140625" style="4" hidden="1" customWidth="1" outlineLevel="1"/>
    <col min="36" max="36" width="13.44140625" style="4" hidden="1" customWidth="1" outlineLevel="1"/>
    <col min="37" max="37" width="8.44140625" style="4" hidden="1" customWidth="1" outlineLevel="1"/>
    <col min="38" max="38" width="13.44140625" style="4" hidden="1" customWidth="1" outlineLevel="1"/>
    <col min="39" max="39" width="8.33203125" style="4" hidden="1" customWidth="1" outlineLevel="1"/>
    <col min="40" max="40" width="13.44140625" style="4" hidden="1" customWidth="1" outlineLevel="1"/>
    <col min="41" max="41" width="8.44140625" style="4" hidden="1" customWidth="1" outlineLevel="1"/>
    <col min="42" max="42" width="13.44140625" style="4" hidden="1" customWidth="1" outlineLevel="1"/>
    <col min="43" max="43" width="8.44140625" style="55" hidden="1" customWidth="1" outlineLevel="1"/>
    <col min="44" max="44" width="13.44140625" style="4" hidden="1" customWidth="1" outlineLevel="1"/>
    <col min="45" max="45" width="8.44140625" style="55" hidden="1" customWidth="1" outlineLevel="1"/>
    <col min="46" max="46" width="13.44140625" style="4" hidden="1" customWidth="1" outlineLevel="1"/>
    <col min="47" max="47" width="8.44140625" style="55" hidden="1" customWidth="1" outlineLevel="1"/>
    <col min="48" max="48" width="13.44140625" style="4" hidden="1" customWidth="1" outlineLevel="1"/>
    <col min="49" max="49" width="8.44140625" style="55" hidden="1" customWidth="1" outlineLevel="1"/>
    <col min="50" max="50" width="16.21875" style="56" hidden="1" customWidth="1" collapsed="1"/>
    <col min="51" max="51" width="11.5546875" style="4" hidden="1" customWidth="1"/>
    <col min="52" max="52" width="16.21875" style="4" hidden="1" customWidth="1"/>
    <col min="53" max="54" width="11.5546875" style="4" hidden="1" customWidth="1"/>
    <col min="55" max="55" width="16.33203125" style="4" hidden="1" customWidth="1"/>
    <col min="56" max="57" width="11.6640625" style="4" hidden="1" customWidth="1"/>
    <col min="58" max="58" width="17.109375" style="4" hidden="1" customWidth="1"/>
    <col min="59" max="60" width="11.6640625" style="4" hidden="1" customWidth="1"/>
    <col min="61" max="61" width="16.77734375" style="4" hidden="1" customWidth="1"/>
    <col min="62" max="63" width="11.6640625" style="4" hidden="1" customWidth="1"/>
    <col min="64" max="64" width="17.109375" style="4" hidden="1" customWidth="1"/>
    <col min="65" max="66" width="11.6640625" style="4" hidden="1" customWidth="1"/>
    <col min="67" max="67" width="17.6640625" style="4" hidden="1" customWidth="1"/>
    <col min="68" max="68" width="11.6640625" style="4" hidden="1" customWidth="1"/>
    <col min="69" max="69" width="12.6640625" style="4" hidden="1" customWidth="1"/>
    <col min="70" max="70" width="17" style="4" hidden="1" customWidth="1"/>
    <col min="71" max="71" width="11.6640625" style="4" hidden="1" customWidth="1"/>
    <col min="72" max="72" width="13.88671875" style="4" customWidth="1"/>
    <col min="73" max="73" width="23.5546875" style="4" bestFit="1" customWidth="1"/>
    <col min="74" max="74" width="11.6640625" style="4" bestFit="1" customWidth="1"/>
    <col min="75" max="75" width="13.6640625" style="4" customWidth="1"/>
    <col min="76" max="76" width="24.33203125" style="4" bestFit="1" customWidth="1"/>
    <col min="77" max="78" width="11.6640625" style="4" bestFit="1" customWidth="1"/>
    <col min="79" max="79" width="17.44140625" style="4" customWidth="1"/>
    <col min="80" max="80" width="16.6640625" style="4" customWidth="1"/>
    <col min="81" max="81" width="11.5546875" style="4"/>
    <col min="82" max="82" width="17.44140625" style="4" customWidth="1"/>
    <col min="83" max="83" width="16.6640625" style="4" customWidth="1"/>
    <col min="84" max="84" width="11.5546875" style="4"/>
    <col min="85" max="85" width="22.88671875" style="4" customWidth="1"/>
    <col min="86" max="86" width="11.5546875" style="4"/>
    <col min="87" max="87" width="13.109375" style="4" customWidth="1"/>
    <col min="88" max="88" width="22.88671875" style="4" customWidth="1"/>
    <col min="89" max="89" width="11.5546875" style="4"/>
    <col min="90" max="90" width="13" style="4" customWidth="1"/>
    <col min="91" max="16384" width="11.5546875" style="4"/>
  </cols>
  <sheetData>
    <row r="1" spans="2:90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  <c r="AR1" s="1"/>
      <c r="AS1" s="2"/>
      <c r="AT1" s="1"/>
      <c r="AU1" s="2"/>
      <c r="AV1" s="1"/>
      <c r="AW1" s="2"/>
      <c r="AX1" s="3"/>
    </row>
    <row r="2" spans="2:90" x14ac:dyDescent="0.35">
      <c r="B2" s="98" t="s">
        <v>81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</row>
    <row r="3" spans="2:90" x14ac:dyDescent="0.35">
      <c r="B3" s="98" t="s">
        <v>37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</row>
    <row r="4" spans="2:90" x14ac:dyDescent="0.35">
      <c r="B4" s="98" t="str">
        <f>+'Tenencia deuda bonificada GC ¢'!B4:AX4</f>
        <v>Por trimestre de Setiembre 2016 a Marzo 2025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</row>
    <row r="5" spans="2:90" x14ac:dyDescent="0.35">
      <c r="B5" s="98" t="s">
        <v>70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</row>
    <row r="6" spans="2:90" x14ac:dyDescent="0.35">
      <c r="B6" s="59"/>
      <c r="C6" s="59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1"/>
      <c r="AR6" s="60"/>
      <c r="AS6" s="61"/>
      <c r="AT6" s="60"/>
      <c r="AU6" s="61"/>
      <c r="AV6" s="60"/>
      <c r="AW6" s="61"/>
      <c r="AX6" s="62"/>
      <c r="BL6" s="6"/>
    </row>
    <row r="7" spans="2:90" ht="43.2" x14ac:dyDescent="0.35">
      <c r="B7" s="99" t="s">
        <v>13</v>
      </c>
      <c r="C7" s="99"/>
      <c r="D7" s="7" t="s">
        <v>26</v>
      </c>
      <c r="E7" s="7" t="s">
        <v>27</v>
      </c>
      <c r="F7" s="7" t="s">
        <v>28</v>
      </c>
      <c r="G7" s="7" t="s">
        <v>27</v>
      </c>
      <c r="H7" s="7" t="s">
        <v>34</v>
      </c>
      <c r="I7" s="7" t="s">
        <v>27</v>
      </c>
      <c r="J7" s="7" t="s">
        <v>29</v>
      </c>
      <c r="K7" s="7" t="s">
        <v>39</v>
      </c>
      <c r="L7" s="7" t="s">
        <v>27</v>
      </c>
      <c r="M7" s="7" t="s">
        <v>29</v>
      </c>
      <c r="N7" s="7" t="s">
        <v>38</v>
      </c>
      <c r="O7" s="7" t="s">
        <v>27</v>
      </c>
      <c r="P7" s="7" t="s">
        <v>29</v>
      </c>
      <c r="Q7" s="7" t="s">
        <v>40</v>
      </c>
      <c r="R7" s="7" t="s">
        <v>27</v>
      </c>
      <c r="S7" s="7" t="s">
        <v>29</v>
      </c>
      <c r="T7" s="7" t="s">
        <v>41</v>
      </c>
      <c r="U7" s="7" t="s">
        <v>27</v>
      </c>
      <c r="V7" s="7" t="s">
        <v>42</v>
      </c>
      <c r="W7" s="7" t="s">
        <v>27</v>
      </c>
      <c r="X7" s="7" t="s">
        <v>43</v>
      </c>
      <c r="Y7" s="7" t="s">
        <v>27</v>
      </c>
      <c r="Z7" s="7" t="s">
        <v>44</v>
      </c>
      <c r="AA7" s="7" t="s">
        <v>27</v>
      </c>
      <c r="AB7" s="7" t="s">
        <v>45</v>
      </c>
      <c r="AC7" s="7" t="s">
        <v>27</v>
      </c>
      <c r="AD7" s="7" t="s">
        <v>46</v>
      </c>
      <c r="AE7" s="7" t="s">
        <v>27</v>
      </c>
      <c r="AF7" s="7" t="s">
        <v>47</v>
      </c>
      <c r="AG7" s="7" t="s">
        <v>27</v>
      </c>
      <c r="AH7" s="7" t="s">
        <v>48</v>
      </c>
      <c r="AI7" s="7" t="s">
        <v>27</v>
      </c>
      <c r="AJ7" s="7" t="s">
        <v>49</v>
      </c>
      <c r="AK7" s="7" t="s">
        <v>27</v>
      </c>
      <c r="AL7" s="7" t="s">
        <v>50</v>
      </c>
      <c r="AM7" s="7" t="s">
        <v>27</v>
      </c>
      <c r="AN7" s="7" t="s">
        <v>51</v>
      </c>
      <c r="AO7" s="7" t="s">
        <v>27</v>
      </c>
      <c r="AP7" s="7" t="s">
        <v>52</v>
      </c>
      <c r="AQ7" s="8" t="s">
        <v>27</v>
      </c>
      <c r="AR7" s="7" t="s">
        <v>53</v>
      </c>
      <c r="AS7" s="8" t="s">
        <v>27</v>
      </c>
      <c r="AT7" s="7" t="s">
        <v>54</v>
      </c>
      <c r="AU7" s="8" t="s">
        <v>27</v>
      </c>
      <c r="AV7" s="7" t="s">
        <v>55</v>
      </c>
      <c r="AW7" s="8" t="s">
        <v>27</v>
      </c>
      <c r="AX7" s="7" t="s">
        <v>56</v>
      </c>
      <c r="AY7" s="8" t="s">
        <v>27</v>
      </c>
      <c r="AZ7" s="7" t="s">
        <v>57</v>
      </c>
      <c r="BA7" s="8" t="s">
        <v>27</v>
      </c>
      <c r="BB7" s="9" t="s">
        <v>29</v>
      </c>
      <c r="BC7" s="7" t="s">
        <v>59</v>
      </c>
      <c r="BD7" s="8" t="s">
        <v>27</v>
      </c>
      <c r="BE7" s="9" t="s">
        <v>29</v>
      </c>
      <c r="BF7" s="7" t="s">
        <v>61</v>
      </c>
      <c r="BG7" s="8" t="s">
        <v>27</v>
      </c>
      <c r="BH7" s="9" t="s">
        <v>29</v>
      </c>
      <c r="BI7" s="7" t="s">
        <v>62</v>
      </c>
      <c r="BJ7" s="8" t="s">
        <v>27</v>
      </c>
      <c r="BK7" s="9" t="s">
        <v>29</v>
      </c>
      <c r="BL7" s="7" t="s">
        <v>63</v>
      </c>
      <c r="BM7" s="8" t="s">
        <v>27</v>
      </c>
      <c r="BN7" s="9" t="s">
        <v>29</v>
      </c>
      <c r="BO7" s="7" t="s">
        <v>65</v>
      </c>
      <c r="BP7" s="8" t="s">
        <v>27</v>
      </c>
      <c r="BQ7" s="9" t="s">
        <v>29</v>
      </c>
      <c r="BR7" s="7" t="s">
        <v>64</v>
      </c>
      <c r="BS7" s="8" t="s">
        <v>27</v>
      </c>
      <c r="BT7" s="9" t="s">
        <v>29</v>
      </c>
      <c r="BU7" s="7" t="s">
        <v>66</v>
      </c>
      <c r="BV7" s="8" t="s">
        <v>27</v>
      </c>
      <c r="BW7" s="9" t="s">
        <v>29</v>
      </c>
      <c r="BX7" s="7" t="s">
        <v>69</v>
      </c>
      <c r="BY7" s="8" t="s">
        <v>27</v>
      </c>
      <c r="BZ7" s="9" t="s">
        <v>29</v>
      </c>
      <c r="CA7" s="7" t="s">
        <v>71</v>
      </c>
      <c r="CB7" s="8" t="s">
        <v>27</v>
      </c>
      <c r="CC7" s="9" t="s">
        <v>29</v>
      </c>
      <c r="CD7" s="7" t="s">
        <v>74</v>
      </c>
      <c r="CE7" s="8" t="s">
        <v>27</v>
      </c>
      <c r="CF7" s="9" t="s">
        <v>29</v>
      </c>
      <c r="CG7" s="7" t="s">
        <v>76</v>
      </c>
      <c r="CH7" s="8" t="s">
        <v>27</v>
      </c>
      <c r="CI7" s="9" t="s">
        <v>29</v>
      </c>
      <c r="CJ7" s="7" t="s">
        <v>83</v>
      </c>
      <c r="CK7" s="8" t="s">
        <v>27</v>
      </c>
      <c r="CL7" s="9" t="s">
        <v>29</v>
      </c>
    </row>
    <row r="8" spans="2:90" x14ac:dyDescent="0.35">
      <c r="B8" s="1"/>
      <c r="C8" s="5"/>
      <c r="D8" s="1"/>
      <c r="E8" s="5"/>
      <c r="F8" s="1"/>
      <c r="G8" s="5"/>
      <c r="H8" s="1"/>
      <c r="I8" s="5"/>
      <c r="J8" s="5"/>
      <c r="K8" s="1"/>
      <c r="L8" s="5"/>
      <c r="M8" s="5"/>
      <c r="N8" s="1"/>
      <c r="O8" s="5"/>
      <c r="P8" s="5"/>
      <c r="Q8" s="1"/>
      <c r="R8" s="5"/>
      <c r="S8" s="5"/>
      <c r="T8" s="1"/>
      <c r="U8" s="5"/>
      <c r="V8" s="1"/>
      <c r="W8" s="5"/>
      <c r="X8" s="1"/>
      <c r="Y8" s="5"/>
      <c r="Z8" s="1"/>
      <c r="AA8" s="5"/>
      <c r="AB8" s="1"/>
      <c r="AC8" s="5"/>
      <c r="AD8" s="1"/>
      <c r="AE8" s="5"/>
      <c r="AF8" s="1"/>
      <c r="AG8" s="5"/>
      <c r="AH8" s="1"/>
      <c r="AI8" s="5"/>
      <c r="AJ8" s="15"/>
      <c r="AK8" s="63"/>
      <c r="AL8" s="15"/>
      <c r="AM8" s="63"/>
      <c r="AN8" s="15"/>
      <c r="AO8" s="63"/>
      <c r="AP8" s="15"/>
      <c r="AQ8" s="10"/>
      <c r="AR8" s="15"/>
      <c r="AS8" s="10"/>
      <c r="AT8" s="15"/>
      <c r="AU8" s="10"/>
      <c r="AV8" s="15"/>
      <c r="AW8" s="10"/>
      <c r="AX8" s="15"/>
      <c r="AY8" s="10"/>
      <c r="AZ8" s="15"/>
      <c r="BA8" s="10"/>
      <c r="BB8" s="11"/>
      <c r="BC8" s="15"/>
      <c r="BD8" s="10"/>
      <c r="BE8" s="11"/>
      <c r="BF8" s="15"/>
      <c r="BG8" s="10"/>
      <c r="BH8" s="11"/>
      <c r="BI8" s="15"/>
      <c r="BJ8" s="10"/>
      <c r="BK8" s="11"/>
      <c r="BL8" s="15"/>
      <c r="BM8" s="10"/>
      <c r="BN8" s="11"/>
      <c r="BO8" s="11"/>
      <c r="BP8" s="11"/>
      <c r="BQ8" s="11"/>
      <c r="BR8" s="15"/>
      <c r="BS8" s="10"/>
      <c r="BT8" s="11"/>
      <c r="BU8" s="15"/>
      <c r="BV8" s="10"/>
      <c r="BW8" s="11"/>
      <c r="BX8" s="15"/>
      <c r="BY8" s="10"/>
      <c r="BZ8" s="11"/>
      <c r="CA8" s="15"/>
      <c r="CB8" s="10"/>
      <c r="CC8" s="11"/>
      <c r="CD8" s="15"/>
      <c r="CE8" s="10"/>
      <c r="CF8" s="11"/>
      <c r="CG8" s="15"/>
      <c r="CH8" s="10"/>
      <c r="CI8" s="11"/>
      <c r="CJ8" s="15"/>
      <c r="CK8" s="10"/>
      <c r="CL8" s="11"/>
    </row>
    <row r="9" spans="2:90" x14ac:dyDescent="0.35">
      <c r="B9" s="1"/>
      <c r="C9" s="12" t="s">
        <v>0</v>
      </c>
      <c r="D9" s="1"/>
      <c r="E9" s="5"/>
      <c r="F9" s="1"/>
      <c r="G9" s="5"/>
      <c r="H9" s="1"/>
      <c r="I9" s="5"/>
      <c r="J9" s="5"/>
      <c r="K9" s="1"/>
      <c r="L9" s="5"/>
      <c r="M9" s="5"/>
      <c r="N9" s="1"/>
      <c r="O9" s="5"/>
      <c r="P9" s="5"/>
      <c r="Q9" s="1"/>
      <c r="R9" s="5"/>
      <c r="S9" s="5"/>
      <c r="T9" s="1"/>
      <c r="U9" s="5"/>
      <c r="V9" s="1"/>
      <c r="W9" s="5"/>
      <c r="X9" s="1"/>
      <c r="Y9" s="5"/>
      <c r="Z9" s="1"/>
      <c r="AA9" s="5"/>
      <c r="AB9" s="1"/>
      <c r="AC9" s="5"/>
      <c r="AD9" s="1"/>
      <c r="AE9" s="5"/>
      <c r="AF9" s="1"/>
      <c r="AG9" s="5"/>
      <c r="AH9" s="1"/>
      <c r="AI9" s="5"/>
      <c r="AJ9" s="15"/>
      <c r="AK9" s="63"/>
      <c r="AL9" s="15"/>
      <c r="AM9" s="63"/>
      <c r="AN9" s="15"/>
      <c r="AO9" s="63"/>
      <c r="AP9" s="15"/>
      <c r="AQ9" s="10"/>
      <c r="AR9" s="15"/>
      <c r="AS9" s="10"/>
      <c r="AT9" s="15"/>
      <c r="AU9" s="10"/>
      <c r="AV9" s="15"/>
      <c r="AW9" s="10"/>
      <c r="AX9" s="15"/>
      <c r="AY9" s="10"/>
      <c r="AZ9" s="15"/>
      <c r="BA9" s="10"/>
      <c r="BB9" s="11"/>
      <c r="BC9" s="15"/>
      <c r="BD9" s="10"/>
      <c r="BE9" s="11"/>
      <c r="BF9" s="15"/>
      <c r="BG9" s="10"/>
      <c r="BH9" s="11"/>
      <c r="BI9" s="15"/>
      <c r="BJ9" s="10"/>
      <c r="BK9" s="11"/>
      <c r="BL9" s="15"/>
      <c r="BM9" s="10"/>
      <c r="BN9" s="11"/>
      <c r="BO9" s="11"/>
      <c r="BP9" s="11"/>
      <c r="BQ9" s="11"/>
      <c r="BR9" s="15"/>
      <c r="BS9" s="10"/>
      <c r="BT9" s="11"/>
      <c r="BU9" s="15"/>
      <c r="BV9" s="10"/>
      <c r="BW9" s="11"/>
      <c r="BX9" s="15"/>
      <c r="BY9" s="10"/>
      <c r="BZ9" s="11"/>
      <c r="CA9" s="15"/>
      <c r="CB9" s="10"/>
      <c r="CC9" s="11"/>
      <c r="CD9" s="15"/>
      <c r="CE9" s="10"/>
      <c r="CF9" s="11"/>
      <c r="CG9" s="15"/>
      <c r="CH9" s="10"/>
      <c r="CI9" s="11"/>
      <c r="CJ9" s="15"/>
      <c r="CK9" s="10"/>
      <c r="CL9" s="11"/>
    </row>
    <row r="10" spans="2:90" x14ac:dyDescent="0.35">
      <c r="B10" s="1"/>
      <c r="C10" s="5"/>
      <c r="D10" s="1"/>
      <c r="E10" s="5"/>
      <c r="F10" s="1"/>
      <c r="G10" s="5"/>
      <c r="H10" s="1"/>
      <c r="I10" s="5"/>
      <c r="J10" s="5"/>
      <c r="K10" s="1"/>
      <c r="L10" s="5"/>
      <c r="M10" s="5"/>
      <c r="N10" s="1"/>
      <c r="O10" s="5"/>
      <c r="P10" s="5"/>
      <c r="Q10" s="1"/>
      <c r="R10" s="5"/>
      <c r="S10" s="5"/>
      <c r="T10" s="1"/>
      <c r="U10" s="5"/>
      <c r="V10" s="1"/>
      <c r="W10" s="5"/>
      <c r="X10" s="1"/>
      <c r="Y10" s="5"/>
      <c r="Z10" s="1"/>
      <c r="AA10" s="5"/>
      <c r="AB10" s="1"/>
      <c r="AC10" s="5"/>
      <c r="AD10" s="1"/>
      <c r="AE10" s="5"/>
      <c r="AF10" s="1"/>
      <c r="AG10" s="5"/>
      <c r="AH10" s="1"/>
      <c r="AI10" s="5"/>
      <c r="AJ10" s="15"/>
      <c r="AK10" s="63"/>
      <c r="AL10" s="15"/>
      <c r="AM10" s="63"/>
      <c r="AN10" s="15"/>
      <c r="AO10" s="63"/>
      <c r="AP10" s="15"/>
      <c r="AQ10" s="10"/>
      <c r="AR10" s="15"/>
      <c r="AS10" s="10"/>
      <c r="AT10" s="15"/>
      <c r="AU10" s="10"/>
      <c r="AV10" s="15"/>
      <c r="AW10" s="10"/>
      <c r="AX10" s="15"/>
      <c r="AY10" s="10"/>
      <c r="AZ10" s="15"/>
      <c r="BA10" s="10"/>
      <c r="BB10" s="11"/>
      <c r="BC10" s="15"/>
      <c r="BD10" s="10"/>
      <c r="BE10" s="11"/>
      <c r="BF10" s="15"/>
      <c r="BG10" s="10"/>
      <c r="BH10" s="11"/>
      <c r="BI10" s="15"/>
      <c r="BJ10" s="10"/>
      <c r="BK10" s="11"/>
      <c r="BL10" s="15"/>
      <c r="BM10" s="10"/>
      <c r="BN10" s="11"/>
      <c r="BO10" s="11"/>
      <c r="BP10" s="11"/>
      <c r="BQ10" s="11"/>
      <c r="BR10" s="15"/>
      <c r="BS10" s="10"/>
      <c r="BT10" s="11"/>
      <c r="BU10" s="15"/>
      <c r="BV10" s="10"/>
      <c r="BW10" s="11"/>
      <c r="BX10" s="15"/>
      <c r="BY10" s="10"/>
      <c r="BZ10" s="11"/>
      <c r="CA10" s="15"/>
      <c r="CB10" s="10"/>
      <c r="CC10" s="11"/>
      <c r="CD10" s="15"/>
      <c r="CE10" s="10"/>
      <c r="CF10" s="11"/>
      <c r="CG10" s="15"/>
      <c r="CH10" s="10"/>
      <c r="CI10" s="11"/>
      <c r="CJ10" s="15"/>
      <c r="CK10" s="10"/>
      <c r="CL10" s="11"/>
    </row>
    <row r="11" spans="2:90" x14ac:dyDescent="0.35">
      <c r="B11" s="100" t="s">
        <v>1</v>
      </c>
      <c r="C11" s="100"/>
      <c r="D11" s="1"/>
      <c r="E11" s="5"/>
      <c r="F11" s="1"/>
      <c r="G11" s="5"/>
      <c r="H11" s="1"/>
      <c r="I11" s="5"/>
      <c r="J11" s="5"/>
      <c r="K11" s="1"/>
      <c r="L11" s="5"/>
      <c r="M11" s="5"/>
      <c r="N11" s="1"/>
      <c r="O11" s="5"/>
      <c r="P11" s="5"/>
      <c r="Q11" s="1"/>
      <c r="R11" s="5"/>
      <c r="S11" s="5"/>
      <c r="T11" s="1"/>
      <c r="U11" s="5"/>
      <c r="V11" s="1"/>
      <c r="W11" s="5"/>
      <c r="X11" s="1"/>
      <c r="Y11" s="5"/>
      <c r="Z11" s="1"/>
      <c r="AA11" s="5"/>
      <c r="AB11" s="1"/>
      <c r="AC11" s="5"/>
      <c r="AD11" s="1"/>
      <c r="AE11" s="5"/>
      <c r="AF11" s="1"/>
      <c r="AG11" s="5"/>
      <c r="AH11" s="1"/>
      <c r="AI11" s="5"/>
      <c r="AJ11" s="15"/>
      <c r="AK11" s="63"/>
      <c r="AL11" s="15"/>
      <c r="AM11" s="63"/>
      <c r="AN11" s="15"/>
      <c r="AO11" s="63"/>
      <c r="AP11" s="15"/>
      <c r="AQ11" s="10"/>
      <c r="AR11" s="15"/>
      <c r="AS11" s="10"/>
      <c r="AT11" s="15"/>
      <c r="AU11" s="10"/>
      <c r="AV11" s="15"/>
      <c r="AW11" s="10"/>
      <c r="AX11" s="15"/>
      <c r="AY11" s="10"/>
      <c r="AZ11" s="15"/>
      <c r="BA11" s="10"/>
      <c r="BB11" s="11"/>
      <c r="BC11" s="15"/>
      <c r="BD11" s="10"/>
      <c r="BE11" s="11"/>
      <c r="BF11" s="15"/>
      <c r="BG11" s="10"/>
      <c r="BH11" s="11"/>
      <c r="BI11" s="15"/>
      <c r="BJ11" s="10"/>
      <c r="BK11" s="11"/>
      <c r="BL11" s="15"/>
      <c r="BM11" s="10"/>
      <c r="BN11" s="11"/>
      <c r="BO11" s="11"/>
      <c r="BP11" s="11"/>
      <c r="BQ11" s="11"/>
      <c r="BR11" s="15"/>
      <c r="BS11" s="10"/>
      <c r="BT11" s="11"/>
      <c r="BU11" s="15"/>
      <c r="BV11" s="10"/>
      <c r="BW11" s="11"/>
      <c r="BX11" s="15"/>
      <c r="BY11" s="10"/>
      <c r="BZ11" s="11"/>
      <c r="CA11" s="15"/>
      <c r="CB11" s="10"/>
      <c r="CC11" s="11"/>
      <c r="CD11" s="15"/>
      <c r="CE11" s="10"/>
      <c r="CF11" s="11"/>
      <c r="CG11" s="15"/>
      <c r="CH11" s="10"/>
      <c r="CI11" s="11"/>
      <c r="CJ11" s="15"/>
      <c r="CK11" s="10"/>
      <c r="CL11" s="11"/>
    </row>
    <row r="12" spans="2:90" x14ac:dyDescent="0.35">
      <c r="B12" s="101" t="s">
        <v>2</v>
      </c>
      <c r="C12" s="101"/>
      <c r="D12" s="15">
        <f>+D13+D18+D23</f>
        <v>10540.627958415636</v>
      </c>
      <c r="E12" s="16">
        <v>0.55037722018258284</v>
      </c>
      <c r="F12" s="15">
        <f>+F13+F18+F23</f>
        <v>10108.949860036699</v>
      </c>
      <c r="G12" s="16">
        <v>0.52036787313274868</v>
      </c>
      <c r="H12" s="15">
        <f>+H13+H18+H23</f>
        <v>10560.59571058266</v>
      </c>
      <c r="I12" s="16">
        <v>0.5210141327604173</v>
      </c>
      <c r="J12" s="17">
        <f>(+H12-F12)/F12</f>
        <v>4.4677820822065263E-2</v>
      </c>
      <c r="K12" s="15">
        <f>+K13+K18+K23</f>
        <v>10773.187385268417</v>
      </c>
      <c r="L12" s="16">
        <v>0.52737250539679215</v>
      </c>
      <c r="M12" s="17">
        <f>(+K12-H12)/H12</f>
        <v>2.0130651765479544E-2</v>
      </c>
      <c r="N12" s="15">
        <f>+N13+N18+N23</f>
        <v>11168.207890410958</v>
      </c>
      <c r="O12" s="16">
        <v>0.52346101123792399</v>
      </c>
      <c r="P12" s="17">
        <f>(+N12-H12)/H12</f>
        <v>5.7535786472671872E-2</v>
      </c>
      <c r="Q12" s="15">
        <f>+Q13+Q18+Q23</f>
        <v>11400.701170572665</v>
      </c>
      <c r="R12" s="16">
        <v>0.51242183794357354</v>
      </c>
      <c r="S12" s="17">
        <f>(+Q12-K12)/K12</f>
        <v>5.8247736984722853E-2</v>
      </c>
      <c r="T12" s="15">
        <f>+T13+T18+T23</f>
        <v>11708.866749607356</v>
      </c>
      <c r="U12" s="16">
        <f>+T12/$T$38</f>
        <v>0.49264580256882912</v>
      </c>
      <c r="V12" s="15">
        <f>+V13+V18+V23</f>
        <v>11705.116643670368</v>
      </c>
      <c r="W12" s="16">
        <f>+V12/$V$38</f>
        <v>0.48119595314397462</v>
      </c>
      <c r="X12" s="15">
        <f>+X13+X18+X23</f>
        <v>11468.670693976055</v>
      </c>
      <c r="Y12" s="16">
        <f>+V12/$X$38</f>
        <v>0.46660508758434893</v>
      </c>
      <c r="Z12" s="15">
        <f>+Z13+Z18+Z23</f>
        <v>11215.057177664967</v>
      </c>
      <c r="AA12" s="16">
        <f>+Z12/$Z$38</f>
        <v>0.46115244646993492</v>
      </c>
      <c r="AB12" s="15">
        <f>+AB13+AB18+AB23</f>
        <v>11589.124938673516</v>
      </c>
      <c r="AC12" s="16">
        <f>+AB12/$AV$38</f>
        <v>0.35047755112903917</v>
      </c>
      <c r="AD12" s="15">
        <f>+AD13+AD18+AD23</f>
        <v>12923.786839614178</v>
      </c>
      <c r="AE12" s="16">
        <f>+AD12/$AV$38</f>
        <v>0.39084030820536875</v>
      </c>
      <c r="AF12" s="15">
        <f>+AF13+AF18+AF23</f>
        <v>13725.099298759476</v>
      </c>
      <c r="AG12" s="16">
        <f>+AF12/$AF$38</f>
        <v>0.48229893280095049</v>
      </c>
      <c r="AH12" s="15">
        <f>+AH13+AH18+AH23</f>
        <v>14248.032196097573</v>
      </c>
      <c r="AI12" s="16">
        <f>+AH12/$AV$38</f>
        <v>0.43088804883205872</v>
      </c>
      <c r="AJ12" s="15">
        <f>+AJ13+AJ18+AJ23</f>
        <v>14139.575210376377</v>
      </c>
      <c r="AK12" s="2">
        <f>+AJ12/$AJ$38</f>
        <v>0.48171211901541544</v>
      </c>
      <c r="AL12" s="15">
        <f>+AL13+AL18+AL23</f>
        <v>15153.093208578921</v>
      </c>
      <c r="AM12" s="64">
        <f>+AL12/$AL$38</f>
        <v>0.51793900939029025</v>
      </c>
      <c r="AN12" s="15">
        <f>+AN13+AN18+AN23</f>
        <v>15678.122663093414</v>
      </c>
      <c r="AO12" s="64">
        <f>+AN12/$AV$38</f>
        <v>0.47413675030158098</v>
      </c>
      <c r="AP12" s="15">
        <f>+AP13+AP18+AP23</f>
        <v>15486.162336983396</v>
      </c>
      <c r="AQ12" s="65">
        <f>+AP12/$AP$38</f>
        <v>0.51484378179028933</v>
      </c>
      <c r="AR12" s="15">
        <f>+AR13+AR18+AR23</f>
        <v>15892.721792433949</v>
      </c>
      <c r="AS12" s="65">
        <f>+AR12/$AR$38</f>
        <v>0.49932028849081417</v>
      </c>
      <c r="AT12" s="15">
        <f>+AT13+AT18+AT23</f>
        <v>17112.255801937608</v>
      </c>
      <c r="AU12" s="65">
        <f>+AT12/$AT$38</f>
        <v>0.52912102697211338</v>
      </c>
      <c r="AV12" s="15">
        <f>+AV13+AV18+AV23</f>
        <v>17335.827036300703</v>
      </c>
      <c r="AW12" s="65">
        <f>+AV12/$AV$38</f>
        <v>0.52426893649268858</v>
      </c>
      <c r="AX12" s="15">
        <f>+AX13+AX18+AX23</f>
        <v>17124.061097681755</v>
      </c>
      <c r="AY12" s="65">
        <f>+AX12/$AX$38</f>
        <v>0.53700676763506694</v>
      </c>
      <c r="AZ12" s="15">
        <f>+AZ13+AZ18+AZ23</f>
        <v>17226.925294259236</v>
      </c>
      <c r="BA12" s="65">
        <f>+AZ12/$AZ$38</f>
        <v>0.54635283576570615</v>
      </c>
      <c r="BB12" s="66">
        <f>(+AZ12-AX12)/AX12</f>
        <v>6.0069977554218232E-3</v>
      </c>
      <c r="BC12" s="15">
        <f>+BC13+BC18+BC23</f>
        <v>16013.607673685816</v>
      </c>
      <c r="BD12" s="65">
        <f>+BC12/$BC$38</f>
        <v>0.5259471398066502</v>
      </c>
      <c r="BE12" s="66">
        <f>(+BC12-AZ12)/AZ12</f>
        <v>-7.0431467011571144E-2</v>
      </c>
      <c r="BF12" s="15">
        <f>+BF13+BF18+BF23</f>
        <v>16852.528194508966</v>
      </c>
      <c r="BG12" s="65">
        <f>+BF12/$BF$38</f>
        <v>0.50729343136600524</v>
      </c>
      <c r="BH12" s="66">
        <f>(+BF12-BC12)/BC12</f>
        <v>5.2387977644893689E-2</v>
      </c>
      <c r="BI12" s="15">
        <f>+BI13+BI18+BI23</f>
        <v>17630.821973858347</v>
      </c>
      <c r="BJ12" s="65">
        <f>+BI12/$BI$38</f>
        <v>0.50142740867325342</v>
      </c>
      <c r="BK12" s="66">
        <f>(+BI12-BF12)/BF12</f>
        <v>4.6182612505758662E-2</v>
      </c>
      <c r="BL12" s="15">
        <f>+BL13+BL18+BL23</f>
        <v>21661.482192473526</v>
      </c>
      <c r="BM12" s="65">
        <f>+BL12/$BL$38</f>
        <v>0.5521762224341229</v>
      </c>
      <c r="BN12" s="66">
        <f>(+BL12-BI12)/BI12</f>
        <v>0.22861442447728975</v>
      </c>
      <c r="BO12" s="15">
        <f>+BO13+BO18+BO23</f>
        <v>10122.283226024951</v>
      </c>
      <c r="BP12" s="65">
        <f>+BO12/$BO$38</f>
        <v>0.2550974487155479</v>
      </c>
      <c r="BQ12" s="66">
        <f>(+BO12-BL12)/BL12</f>
        <v>-0.53270588152356313</v>
      </c>
      <c r="BR12" s="15">
        <f>+BR13+BR18+BR23</f>
        <v>9516.8396514055403</v>
      </c>
      <c r="BS12" s="65">
        <f>+BR12/$BR$38</f>
        <v>0.24195709326668546</v>
      </c>
      <c r="BT12" s="66">
        <f>(+BR12-BO12)/BO12</f>
        <v>-5.9812945468941378E-2</v>
      </c>
      <c r="BU12" s="15">
        <f>+BU13+BU18+BU23</f>
        <v>9609.5390097415584</v>
      </c>
      <c r="BV12" s="65">
        <f>+BU12/$BU$38</f>
        <v>0.23712678700239798</v>
      </c>
      <c r="BW12" s="66">
        <f>(+BU12-BR12)/BR12</f>
        <v>9.7405611244408604E-3</v>
      </c>
      <c r="BX12" s="15">
        <f>+BX13+BX18+BX23</f>
        <v>9161.168667094511</v>
      </c>
      <c r="BY12" s="65">
        <f>+BX12/$BX$38</f>
        <v>0.22108914574539354</v>
      </c>
      <c r="BZ12" s="66">
        <f>(+BX12-BU12)/BU12</f>
        <v>-4.6658881575122095E-2</v>
      </c>
      <c r="CA12" s="15">
        <f>+CA13+CA18+CA23</f>
        <v>8277.6407409677158</v>
      </c>
      <c r="CB12" s="65">
        <f>+CA12/$CA$38</f>
        <v>0.2082503152145746</v>
      </c>
      <c r="CC12" s="66">
        <f>(+CA12-BX12)/BX12</f>
        <v>-9.6442709247379063E-2</v>
      </c>
      <c r="CD12" s="15">
        <f>+CD13+CD18+CD23</f>
        <v>8641.5167666456273</v>
      </c>
      <c r="CE12" s="65">
        <f>+CD12/$CD$38</f>
        <v>0.21146480208093582</v>
      </c>
      <c r="CF12" s="66">
        <f>(+CD12-CA12)/CA12</f>
        <v>4.3958905328787164E-2</v>
      </c>
      <c r="CG12" s="15">
        <f>+CG13+CG18+CG23</f>
        <v>8940.8366965856803</v>
      </c>
      <c r="CH12" s="65">
        <f>+CG12/$CG$38</f>
        <v>0.21241818353228475</v>
      </c>
      <c r="CI12" s="66">
        <f>(+CG12-CD12)/CD12</f>
        <v>3.4637429750221951E-2</v>
      </c>
      <c r="CJ12" s="15">
        <f>+CJ13+CJ18+CJ23</f>
        <v>9425.29420308728</v>
      </c>
      <c r="CK12" s="102">
        <f>+CJ12/$CJ$38</f>
        <v>0.21733492596242215</v>
      </c>
      <c r="CL12" s="66">
        <f>(+CJ12-CG12)/CG12</f>
        <v>5.4184806516665712E-2</v>
      </c>
    </row>
    <row r="13" spans="2:90" x14ac:dyDescent="0.35">
      <c r="B13" s="1"/>
      <c r="C13" s="20" t="s">
        <v>3</v>
      </c>
      <c r="D13" s="21">
        <f>+D15+D16+D14</f>
        <v>3517.7246564296506</v>
      </c>
      <c r="E13" s="17">
        <v>0.33373008423289424</v>
      </c>
      <c r="F13" s="21">
        <f>+F15+F16+F14</f>
        <v>3609.5298169267162</v>
      </c>
      <c r="G13" s="17">
        <v>0.35706278761912985</v>
      </c>
      <c r="H13" s="21">
        <f>+H15+H16+H14</f>
        <v>3827.9267561911502</v>
      </c>
      <c r="I13" s="17">
        <v>0.36247261623274013</v>
      </c>
      <c r="J13" s="17">
        <f t="shared" ref="J13:J16" si="0">(+H13-F13)/F13</f>
        <v>6.0505647644264367E-2</v>
      </c>
      <c r="K13" s="21">
        <f>+K15+K16+K14</f>
        <v>3875.8007047409747</v>
      </c>
      <c r="L13" s="17">
        <v>0.33101416111605725</v>
      </c>
      <c r="M13" s="17">
        <f>(+K13-H13)/H13</f>
        <v>1.2506495447540865E-2</v>
      </c>
      <c r="N13" s="21">
        <f>+N15+N16+N14</f>
        <v>4002.4693597987134</v>
      </c>
      <c r="O13" s="17">
        <v>0.34183234341896768</v>
      </c>
      <c r="P13" s="17">
        <f>(+N13-H13)/H13</f>
        <v>4.5597163876049708E-2</v>
      </c>
      <c r="Q13" s="21">
        <f>+Q15+Q16+Q14</f>
        <v>3847.8067336850781</v>
      </c>
      <c r="R13" s="17">
        <v>0.32862332589224402</v>
      </c>
      <c r="S13" s="17">
        <f>(+Q13-K13)/K13</f>
        <v>-7.2227581314110384E-3</v>
      </c>
      <c r="T13" s="21">
        <f>+T15+T16+T14</f>
        <v>3679.8210722289868</v>
      </c>
      <c r="U13" s="17">
        <f>+T13/$T$12</f>
        <v>0.3142764497129823</v>
      </c>
      <c r="V13" s="21">
        <f>+V15+V16+V14</f>
        <v>3651.3840902110787</v>
      </c>
      <c r="W13" s="17">
        <f>+V13/$V$12</f>
        <v>0.31194768931974659</v>
      </c>
      <c r="X13" s="21">
        <f>+X15+X16+X14</f>
        <v>3326.2875969091951</v>
      </c>
      <c r="Y13" s="17">
        <f>+V13/$X$12</f>
        <v>0.31837901598560819</v>
      </c>
      <c r="Z13" s="21">
        <f>+Z15+Z16+Z14</f>
        <v>3252.7515498655616</v>
      </c>
      <c r="AA13" s="17">
        <f>+Z13/$Z$12</f>
        <v>0.29003432602586171</v>
      </c>
      <c r="AB13" s="21">
        <f>+AB15+AB16+AB14</f>
        <v>3075.7200306324462</v>
      </c>
      <c r="AC13" s="17">
        <f>+AB13/$AV$12</f>
        <v>0.17741986143447211</v>
      </c>
      <c r="AD13" s="21">
        <f>+AD15+AD16+AD14</f>
        <v>3531.4168165736737</v>
      </c>
      <c r="AE13" s="17">
        <f>+AD13/$AD$12</f>
        <v>0.27324938583396652</v>
      </c>
      <c r="AF13" s="21">
        <f>+AF15+AF16+AF14</f>
        <v>3495.7069107512061</v>
      </c>
      <c r="AG13" s="17">
        <f>+AF13/$AF$12</f>
        <v>0.25469447139571227</v>
      </c>
      <c r="AH13" s="21">
        <f>+AH15+AH16+AH14</f>
        <v>3535.8318588705042</v>
      </c>
      <c r="AI13" s="17">
        <f>+AH13/$AV$12</f>
        <v>0.20396095620166133</v>
      </c>
      <c r="AJ13" s="22">
        <f>+AJ15+AJ16+AJ14</f>
        <v>3512.8012887488776</v>
      </c>
      <c r="AK13" s="19">
        <f>+AJ13/$AJ$12</f>
        <v>0.24843754048360633</v>
      </c>
      <c r="AL13" s="22">
        <f>+AL15+AL16+AL14</f>
        <v>4163.0301015280775</v>
      </c>
      <c r="AM13" s="67">
        <f>+AL13/$AL$12</f>
        <v>0.2747313729431281</v>
      </c>
      <c r="AN13" s="22">
        <f>+AN15+AN16+AN14</f>
        <v>4646.2006256390505</v>
      </c>
      <c r="AO13" s="67">
        <f>+AN13/$AN$12</f>
        <v>0.2963492967545337</v>
      </c>
      <c r="AP13" s="22">
        <f>+AP15+AP16+AP14</f>
        <v>4645.3399487659881</v>
      </c>
      <c r="AQ13" s="68">
        <f>+AP13/$AP$12</f>
        <v>0.29996714794033796</v>
      </c>
      <c r="AR13" s="22">
        <f>+AR15+AR16+AR14</f>
        <v>4651.1960657877562</v>
      </c>
      <c r="AS13" s="68">
        <f>+AR13/$AR$12</f>
        <v>0.29266202017089682</v>
      </c>
      <c r="AT13" s="22">
        <f>+AT15+AT16+AT14</f>
        <v>5666.3621725539524</v>
      </c>
      <c r="AU13" s="68">
        <f>+AT13/$AT$12</f>
        <v>0.3311288843585633</v>
      </c>
      <c r="AV13" s="22">
        <f>+AV15+AV16+AV14</f>
        <v>5788.0319332943545</v>
      </c>
      <c r="AW13" s="68">
        <f>+AV13/$AV$12</f>
        <v>0.3338768852027878</v>
      </c>
      <c r="AX13" s="22">
        <f>+AX15+AX16+AX14</f>
        <v>5510.3777343215697</v>
      </c>
      <c r="AY13" s="68">
        <f>+AX13/$AX$12</f>
        <v>0.32179152497111574</v>
      </c>
      <c r="AZ13" s="22">
        <f>+AZ15+AZ16+AZ14</f>
        <v>5252.579581503649</v>
      </c>
      <c r="BA13" s="68">
        <f>+AZ13/$AZ$12</f>
        <v>0.30490522782112711</v>
      </c>
      <c r="BB13" s="66">
        <f t="shared" ref="BB13:BB54" si="1">(+AZ13-AX13)/AX13</f>
        <v>-4.678411630698498E-2</v>
      </c>
      <c r="BC13" s="22">
        <f>+BC15+BC16+BC14</f>
        <v>4833.7359598281018</v>
      </c>
      <c r="BD13" s="68">
        <f>+BC13/$BC$12</f>
        <v>0.30185177870762286</v>
      </c>
      <c r="BE13" s="66">
        <f t="shared" ref="BE13:BE54" si="2">(+BC13-AZ13)/AZ13</f>
        <v>-7.9740557030388751E-2</v>
      </c>
      <c r="BF13" s="22">
        <f>+BF15+BF16+BF14</f>
        <v>5190.3905897590803</v>
      </c>
      <c r="BG13" s="68">
        <f>+BF13/$BF$12</f>
        <v>0.30798883881708961</v>
      </c>
      <c r="BH13" s="66">
        <f t="shared" ref="BH13" si="3">(+BF13-BC13)/BC13</f>
        <v>7.3784466693059061E-2</v>
      </c>
      <c r="BI13" s="22">
        <f>+BI15+BI16+BI14</f>
        <v>5351.5550349531495</v>
      </c>
      <c r="BJ13" s="68">
        <f>+BI13/$BI$38</f>
        <v>0.15220029885887496</v>
      </c>
      <c r="BK13" s="66">
        <f t="shared" ref="BK13" si="4">(+BI13-BF13)/BF13</f>
        <v>3.1050542807328479E-2</v>
      </c>
      <c r="BL13" s="22">
        <f>+BL15+BL16+BL14</f>
        <v>6114.4866493969566</v>
      </c>
      <c r="BM13" s="65">
        <f>+BL13/$BL$38</f>
        <v>0.15586533323010579</v>
      </c>
      <c r="BN13" s="66">
        <f t="shared" ref="BN13" si="5">(+BL13-BI13)/BI13</f>
        <v>0.14256260273150423</v>
      </c>
      <c r="BO13" s="22">
        <f>+BO15+BO16+BO14</f>
        <v>6024.8760922517249</v>
      </c>
      <c r="BP13" s="65">
        <f>+BO13/$BO$38</f>
        <v>0.15183634814813141</v>
      </c>
      <c r="BQ13" s="66">
        <f t="shared" ref="BQ13" si="6">(+BO13-BL13)/BL13</f>
        <v>-1.4655450618093932E-2</v>
      </c>
      <c r="BR13" s="22">
        <f>+BR15+BR16+BR14</f>
        <v>5628.0941456812561</v>
      </c>
      <c r="BS13" s="65">
        <f>+BR13/$BR$38</f>
        <v>0.1430892344518139</v>
      </c>
      <c r="BT13" s="66">
        <f t="shared" ref="BT13:BT54" si="7">(+BR13-BO13)/BO13</f>
        <v>-6.5857279136536787E-2</v>
      </c>
      <c r="BU13" s="22">
        <f>+BU15+BU16+BU14</f>
        <v>5583.3729531596946</v>
      </c>
      <c r="BV13" s="65">
        <f>+BU13/$BU$38</f>
        <v>0.13777635822870299</v>
      </c>
      <c r="BW13" s="66">
        <f t="shared" ref="BW13" si="8">(+BU13-BR13)/BR13</f>
        <v>-7.9460633322700445E-3</v>
      </c>
      <c r="BX13" s="22">
        <f>+BX15+BX16+BX14</f>
        <v>5243.7678603451695</v>
      </c>
      <c r="BY13" s="65">
        <f>+BX13/$BX$38</f>
        <v>0.12654937365087848</v>
      </c>
      <c r="BZ13" s="66">
        <f t="shared" ref="BZ13" si="9">(+BX13-BU13)/BU13</f>
        <v>-6.0824361127862443E-2</v>
      </c>
      <c r="CA13" s="22">
        <f>+CA15+CA16+CA14</f>
        <v>4749.9401993264337</v>
      </c>
      <c r="CB13" s="65">
        <f>+CA13/$CA$38</f>
        <v>0.11949981579467137</v>
      </c>
      <c r="CC13" s="66">
        <f t="shared" ref="CC13" si="10">(+CA13-BX13)/BX13</f>
        <v>-9.4174203391648573E-2</v>
      </c>
      <c r="CD13" s="22">
        <f>+CD15+CD16+CD14</f>
        <v>4951.6605535548915</v>
      </c>
      <c r="CE13" s="65">
        <f>+CD13/$CD$38</f>
        <v>0.12117107993946706</v>
      </c>
      <c r="CF13" s="66">
        <f>(+CD13-CA13)/CA13</f>
        <v>4.2467977650973973E-2</v>
      </c>
      <c r="CG13" s="22">
        <f>+CG15+CG16+CG14</f>
        <v>5160.0838979844784</v>
      </c>
      <c r="CH13" s="65">
        <f>+CG13/$CG$38</f>
        <v>0.12259430360724856</v>
      </c>
      <c r="CI13" s="66">
        <f>(+CG13-CD13)/CD13</f>
        <v>4.2091605871479983E-2</v>
      </c>
      <c r="CJ13" s="22">
        <f>+CJ15+CJ16+CJ14</f>
        <v>5407.2914415662763</v>
      </c>
      <c r="CK13" s="102">
        <f>+CJ13/$CJ$38</f>
        <v>0.12468505065073808</v>
      </c>
      <c r="CL13" s="66">
        <f>(+CJ13-CG13)/CG13</f>
        <v>4.7907659733663781E-2</v>
      </c>
    </row>
    <row r="14" spans="2:90" x14ac:dyDescent="0.35">
      <c r="B14" s="1"/>
      <c r="C14" s="23" t="s">
        <v>21</v>
      </c>
      <c r="D14" s="24">
        <v>5.6911067443076311</v>
      </c>
      <c r="E14" s="16">
        <v>1.6178374660181267E-3</v>
      </c>
      <c r="F14" s="24">
        <v>5.6732082524620804</v>
      </c>
      <c r="G14" s="16">
        <v>1.5717305411518817E-3</v>
      </c>
      <c r="H14" s="24">
        <v>0</v>
      </c>
      <c r="I14" s="16">
        <v>0</v>
      </c>
      <c r="J14" s="16">
        <f t="shared" si="0"/>
        <v>-1</v>
      </c>
      <c r="K14" s="24">
        <v>0</v>
      </c>
      <c r="L14" s="16">
        <v>0</v>
      </c>
      <c r="M14" s="16"/>
      <c r="N14" s="24">
        <v>0</v>
      </c>
      <c r="O14" s="16">
        <v>0</v>
      </c>
      <c r="P14" s="16"/>
      <c r="Q14" s="24">
        <v>0</v>
      </c>
      <c r="R14" s="16">
        <v>0</v>
      </c>
      <c r="S14" s="16"/>
      <c r="T14" s="24">
        <v>0</v>
      </c>
      <c r="U14" s="16">
        <f t="shared" ref="U14:U15" si="11">+T14/$T$13</f>
        <v>0</v>
      </c>
      <c r="V14" s="24">
        <v>0</v>
      </c>
      <c r="W14" s="16">
        <f>+V14/$V$13</f>
        <v>0</v>
      </c>
      <c r="X14" s="24">
        <v>0</v>
      </c>
      <c r="Y14" s="16">
        <f>+V14/$X$13</f>
        <v>0</v>
      </c>
      <c r="Z14" s="24">
        <v>0</v>
      </c>
      <c r="AA14" s="16">
        <f>+Z14/$Z$13</f>
        <v>0</v>
      </c>
      <c r="AB14" s="24">
        <v>0</v>
      </c>
      <c r="AC14" s="16">
        <f>+AB14/$AV$13</f>
        <v>0</v>
      </c>
      <c r="AD14" s="24">
        <v>0</v>
      </c>
      <c r="AE14" s="16">
        <f>+AD14/$AD$13</f>
        <v>0</v>
      </c>
      <c r="AF14" s="24">
        <v>0</v>
      </c>
      <c r="AG14" s="16">
        <f t="shared" ref="AG14:AG15" si="12">+AF14/$AF$13</f>
        <v>0</v>
      </c>
      <c r="AH14" s="24">
        <v>0</v>
      </c>
      <c r="AI14" s="16">
        <f>+AH14/$AV$13</f>
        <v>0</v>
      </c>
      <c r="AJ14" s="25">
        <v>0</v>
      </c>
      <c r="AK14" s="2">
        <f>+AJ14/$AJ$13</f>
        <v>0</v>
      </c>
      <c r="AL14" s="25">
        <v>0</v>
      </c>
      <c r="AM14" s="64">
        <f>+AL14/$AL$13</f>
        <v>0</v>
      </c>
      <c r="AN14" s="25">
        <v>1.6501114707533773E-4</v>
      </c>
      <c r="AO14" s="64">
        <f>+AN14/AN13</f>
        <v>3.5515286654811998E-8</v>
      </c>
      <c r="AP14" s="25">
        <v>2.7251762107382986</v>
      </c>
      <c r="AQ14" s="65">
        <f>+AP14/$AP$13</f>
        <v>5.866473155451687E-4</v>
      </c>
      <c r="AR14" s="25">
        <v>2.7378932254274897</v>
      </c>
      <c r="AS14" s="65">
        <f>+AR14/$AR$13</f>
        <v>5.886428322311076E-4</v>
      </c>
      <c r="AT14" s="25">
        <v>2.705273509923098</v>
      </c>
      <c r="AU14" s="65">
        <f>+AT14/$AT$13</f>
        <v>4.7742686181031249E-4</v>
      </c>
      <c r="AV14" s="25">
        <v>0</v>
      </c>
      <c r="AW14" s="65">
        <f>+AV14/$AV$13</f>
        <v>0</v>
      </c>
      <c r="AX14" s="25">
        <v>0</v>
      </c>
      <c r="AY14" s="65">
        <f>+AX14/$AX$13</f>
        <v>0</v>
      </c>
      <c r="AZ14" s="25">
        <v>0</v>
      </c>
      <c r="BA14" s="65">
        <f>+AZ14/$AZ$13</f>
        <v>0</v>
      </c>
      <c r="BB14" s="66"/>
      <c r="BC14" s="25">
        <v>0</v>
      </c>
      <c r="BD14" s="65">
        <f>+BC14/$BC$13</f>
        <v>0</v>
      </c>
      <c r="BE14" s="66"/>
      <c r="BF14" s="25">
        <v>0</v>
      </c>
      <c r="BG14" s="65">
        <f>+BF14/$AZ$13</f>
        <v>0</v>
      </c>
      <c r="BH14" s="66"/>
      <c r="BI14" s="25">
        <v>0</v>
      </c>
      <c r="BJ14" s="65">
        <f>+BI14/$BI$13</f>
        <v>0</v>
      </c>
      <c r="BK14" s="66"/>
      <c r="BL14" s="25">
        <v>0</v>
      </c>
      <c r="BM14" s="65">
        <f>+BL14/$BL$13</f>
        <v>0</v>
      </c>
      <c r="BN14" s="66"/>
      <c r="BO14" s="25">
        <v>0</v>
      </c>
      <c r="BP14" s="65">
        <f>+BO14/$BL$13</f>
        <v>0</v>
      </c>
      <c r="BQ14" s="66"/>
      <c r="BR14" s="25">
        <v>0</v>
      </c>
      <c r="BS14" s="25">
        <f>+BR14/$BL$13</f>
        <v>0</v>
      </c>
      <c r="BT14" s="66"/>
      <c r="BU14" s="25">
        <v>0</v>
      </c>
      <c r="BV14" s="25">
        <v>0</v>
      </c>
      <c r="BW14" s="66"/>
      <c r="BX14" s="25">
        <v>0</v>
      </c>
      <c r="BY14" s="25">
        <v>0</v>
      </c>
      <c r="BZ14" s="66"/>
      <c r="CA14" s="25">
        <v>0</v>
      </c>
      <c r="CB14" s="25">
        <v>0</v>
      </c>
      <c r="CC14" s="66"/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  <c r="CJ14" s="25">
        <v>0</v>
      </c>
      <c r="CK14" s="25">
        <v>0</v>
      </c>
      <c r="CL14" s="25">
        <v>0</v>
      </c>
    </row>
    <row r="15" spans="2:90" x14ac:dyDescent="0.35">
      <c r="B15" s="1"/>
      <c r="C15" s="23" t="s">
        <v>14</v>
      </c>
      <c r="D15" s="24">
        <v>2559.1844857036599</v>
      </c>
      <c r="E15" s="16">
        <v>0.72751131360608801</v>
      </c>
      <c r="F15" s="24">
        <v>2657.8985211895297</v>
      </c>
      <c r="G15" s="16">
        <v>0.73635588456021128</v>
      </c>
      <c r="H15" s="24">
        <v>2800.4247117297728</v>
      </c>
      <c r="I15" s="16">
        <v>0.73157740210166433</v>
      </c>
      <c r="J15" s="16">
        <f t="shared" si="0"/>
        <v>5.3623638902683228E-2</v>
      </c>
      <c r="K15" s="24">
        <v>2937.8651544954218</v>
      </c>
      <c r="L15" s="16">
        <v>0.75800212092994179</v>
      </c>
      <c r="M15" s="16">
        <f>(+K15-H15)/H15</f>
        <v>4.9078428064846837E-2</v>
      </c>
      <c r="N15" s="24">
        <v>2963.0698280682132</v>
      </c>
      <c r="O15" s="16">
        <v>0.74031043381109796</v>
      </c>
      <c r="P15" s="16">
        <f>(+N15-H15)/H15</f>
        <v>5.80787320070381E-2</v>
      </c>
      <c r="Q15" s="24">
        <v>2786.0422303633723</v>
      </c>
      <c r="R15" s="16">
        <v>0.72405981464021074</v>
      </c>
      <c r="S15" s="16">
        <f>(+Q15-K15)/K15</f>
        <v>-5.1677975723199987E-2</v>
      </c>
      <c r="T15" s="24">
        <v>2561.384740677996</v>
      </c>
      <c r="U15" s="16">
        <f t="shared" si="11"/>
        <v>0.69606230585730144</v>
      </c>
      <c r="V15" s="24">
        <v>2553.7694372060942</v>
      </c>
      <c r="W15" s="16">
        <f>+V15/$V$13</f>
        <v>0.69939764596456522</v>
      </c>
      <c r="X15" s="24">
        <v>2245.9831071570547</v>
      </c>
      <c r="Y15" s="16">
        <f t="shared" ref="Y15:Y16" si="13">+V15/$X$13</f>
        <v>0.7677536481148145</v>
      </c>
      <c r="Z15" s="24">
        <v>2057.9348621211079</v>
      </c>
      <c r="AA15" s="16">
        <f>+Z15/$Z$13</f>
        <v>0.63267508463908462</v>
      </c>
      <c r="AB15" s="24">
        <v>1918.629230506172</v>
      </c>
      <c r="AC15" s="16">
        <f>+AB15/$AV$13</f>
        <v>0.33148214326007569</v>
      </c>
      <c r="AD15" s="24">
        <v>2255.587995266369</v>
      </c>
      <c r="AE15" s="16">
        <f t="shared" ref="AE15:AE16" si="14">+AD15/$AD$13</f>
        <v>0.63872040951960851</v>
      </c>
      <c r="AF15" s="24">
        <v>2167.0158356305997</v>
      </c>
      <c r="AG15" s="16">
        <f t="shared" si="12"/>
        <v>0.61990775856117786</v>
      </c>
      <c r="AH15" s="24">
        <v>2206.9934906003177</v>
      </c>
      <c r="AI15" s="16">
        <f>+AH15/$AV$13</f>
        <v>0.38130292231200091</v>
      </c>
      <c r="AJ15" s="25">
        <v>2189.1735643582128</v>
      </c>
      <c r="AK15" s="2">
        <f t="shared" ref="AK15:AK16" si="15">+AJ15/$AJ$13</f>
        <v>0.62319880471744837</v>
      </c>
      <c r="AL15" s="25">
        <v>2940.6481931870353</v>
      </c>
      <c r="AM15" s="64">
        <f t="shared" ref="AM15" si="16">+AL15/$AL$13</f>
        <v>0.70637207069620855</v>
      </c>
      <c r="AN15" s="25">
        <v>3232.9275251032145</v>
      </c>
      <c r="AO15" s="64">
        <f>+AN15/$AN$13</f>
        <v>0.69582176612499369</v>
      </c>
      <c r="AP15" s="25">
        <v>3276.1562084142656</v>
      </c>
      <c r="AQ15" s="65">
        <f t="shared" ref="AQ15:AQ16" si="17">+AP15/$AP$13</f>
        <v>0.70525650319403654</v>
      </c>
      <c r="AR15" s="25">
        <v>3322.2705287821432</v>
      </c>
      <c r="AS15" s="65">
        <f t="shared" ref="AS15:AS16" si="18">+AR15/$AR$13</f>
        <v>0.71428305360407596</v>
      </c>
      <c r="AT15" s="25">
        <v>3912.2016847647155</v>
      </c>
      <c r="AU15" s="65">
        <f t="shared" ref="AU15:AU16" si="19">+AT15/$AT$13</f>
        <v>0.69042563211264019</v>
      </c>
      <c r="AV15" s="25">
        <v>3999.286328619291</v>
      </c>
      <c r="AW15" s="65">
        <f>+AV15/$AV$13</f>
        <v>0.69095788943635472</v>
      </c>
      <c r="AX15" s="25">
        <v>3696.5063090651361</v>
      </c>
      <c r="AY15" s="65">
        <f>+AX15/$AX$13</f>
        <v>0.67082630035348112</v>
      </c>
      <c r="AZ15" s="25">
        <v>3527.6461364670272</v>
      </c>
      <c r="BA15" s="65">
        <f>+AZ15/$AZ$13</f>
        <v>0.67160260624878954</v>
      </c>
      <c r="BB15" s="66">
        <f t="shared" si="1"/>
        <v>-4.5681018366992697E-2</v>
      </c>
      <c r="BC15" s="25">
        <v>3168.9241212099328</v>
      </c>
      <c r="BD15" s="65">
        <f>+BC15/$BC$13</f>
        <v>0.65558486180172459</v>
      </c>
      <c r="BE15" s="66">
        <f t="shared" si="2"/>
        <v>-0.10168877528525526</v>
      </c>
      <c r="BF15" s="25">
        <v>3395.8215612468625</v>
      </c>
      <c r="BG15" s="65">
        <f>+BF15/$BF$13</f>
        <v>0.6542516410897864</v>
      </c>
      <c r="BH15" s="66">
        <f t="shared" ref="BH15:BH16" si="20">(+BF15-BC15)/BC15</f>
        <v>7.1600780377883463E-2</v>
      </c>
      <c r="BI15" s="25">
        <v>3427.3417888360887</v>
      </c>
      <c r="BJ15" s="65">
        <f t="shared" ref="BJ15:BJ16" si="21">+BI15/$BI$13</f>
        <v>0.64043848310458296</v>
      </c>
      <c r="BK15" s="66">
        <f t="shared" ref="BK15:BK16" si="22">(+BI15-BF15)/BF15</f>
        <v>9.2820623877694769E-3</v>
      </c>
      <c r="BL15" s="25">
        <v>3821.6223159706251</v>
      </c>
      <c r="BM15" s="65">
        <f t="shared" ref="BM15:BM16" si="23">+BL15/$BL$13</f>
        <v>0.62501114731316554</v>
      </c>
      <c r="BN15" s="66">
        <f t="shared" ref="BN15:BN16" si="24">(+BL15-BI15)/BI15</f>
        <v>0.11503974550155166</v>
      </c>
      <c r="BO15" s="25">
        <v>3829.4907305881061</v>
      </c>
      <c r="BP15" s="65">
        <f>+BO15/$BO$13</f>
        <v>0.63561319302699215</v>
      </c>
      <c r="BQ15" s="66">
        <f t="shared" ref="BQ15:BQ16" si="25">(+BO15-BL15)/BL15</f>
        <v>2.0589199996553179E-3</v>
      </c>
      <c r="BR15" s="25">
        <v>3532.1939261311177</v>
      </c>
      <c r="BS15" s="65">
        <f>+BR15/$BR$13</f>
        <v>0.6276003625208656</v>
      </c>
      <c r="BT15" s="66">
        <f t="shared" si="7"/>
        <v>-7.7633509354736494E-2</v>
      </c>
      <c r="BU15" s="25">
        <v>3347.5966295451281</v>
      </c>
      <c r="BV15" s="65">
        <f>+BU15/$BU$13</f>
        <v>0.59956529102192335</v>
      </c>
      <c r="BW15" s="66">
        <f t="shared" ref="BW15" si="26">(+BU15-BR15)/BR15</f>
        <v>-5.2261370821217262E-2</v>
      </c>
      <c r="BX15" s="25">
        <v>3200.8605760761752</v>
      </c>
      <c r="BY15" s="65">
        <f>+BX15/$BX$13</f>
        <v>0.61041233352108759</v>
      </c>
      <c r="BZ15" s="66">
        <f t="shared" ref="BZ15" si="27">(+BX15-BU15)/BU15</f>
        <v>-4.3833254034818213E-2</v>
      </c>
      <c r="CA15" s="84">
        <v>2824.3935199137227</v>
      </c>
      <c r="CB15" s="65">
        <f>+CA15/$CA$13</f>
        <v>0.59461664808206138</v>
      </c>
      <c r="CC15" s="66">
        <f t="shared" ref="CC15" si="28">(+CA15-BX15)/BX15</f>
        <v>-0.11761432502753698</v>
      </c>
      <c r="CD15" s="84">
        <v>2990.2668180802284</v>
      </c>
      <c r="CE15" s="65">
        <f>+CD15/$CD$13</f>
        <v>0.60389172192618468</v>
      </c>
      <c r="CF15" s="66">
        <f t="shared" ref="CF15" si="29">(+CD15-CA15)/CA15</f>
        <v>5.8728819832291883E-2</v>
      </c>
      <c r="CG15" s="84">
        <v>3264.6739472953691</v>
      </c>
      <c r="CH15" s="65">
        <f>+CG15/$CG$13</f>
        <v>0.63267846256735205</v>
      </c>
      <c r="CI15" s="66">
        <f t="shared" ref="CI15" si="30">(+CG15-CD15)/CD15</f>
        <v>9.1766770629288508E-2</v>
      </c>
      <c r="CJ15" s="84">
        <v>3362.6196786854716</v>
      </c>
      <c r="CK15" s="102">
        <f>+CJ15/$CJ$13</f>
        <v>0.62186766055122322</v>
      </c>
      <c r="CL15" s="66">
        <f t="shared" ref="CL15" si="31">(+CJ15-CG15)/CG15</f>
        <v>3.0001688674376206E-2</v>
      </c>
    </row>
    <row r="16" spans="2:90" x14ac:dyDescent="0.35">
      <c r="B16" s="1"/>
      <c r="C16" s="23" t="s">
        <v>15</v>
      </c>
      <c r="D16" s="24">
        <v>952.84906398168346</v>
      </c>
      <c r="E16" s="16">
        <v>0.27087084892789393</v>
      </c>
      <c r="F16" s="24">
        <v>945.95808748472427</v>
      </c>
      <c r="G16" s="16">
        <v>0.26207238489863677</v>
      </c>
      <c r="H16" s="24">
        <v>1027.5020444613772</v>
      </c>
      <c r="I16" s="16">
        <v>0.26842259789833561</v>
      </c>
      <c r="J16" s="16">
        <f t="shared" si="0"/>
        <v>8.6202505222483988E-2</v>
      </c>
      <c r="K16" s="24">
        <v>937.9355502455528</v>
      </c>
      <c r="L16" s="16">
        <v>0.24199787907005821</v>
      </c>
      <c r="M16" s="16">
        <f>(+K16-H16)/H16</f>
        <v>-8.7169163992053836E-2</v>
      </c>
      <c r="N16" s="24">
        <v>1039.3995317305003</v>
      </c>
      <c r="O16" s="16">
        <v>0.25968956618890199</v>
      </c>
      <c r="P16" s="16">
        <f>(+N16-H16)/H16</f>
        <v>1.1579039996324106E-2</v>
      </c>
      <c r="Q16" s="24">
        <v>1061.7645033217059</v>
      </c>
      <c r="R16" s="16">
        <v>0.27594018535978931</v>
      </c>
      <c r="S16" s="16">
        <f>(+Q16-K16)/K16</f>
        <v>0.13202288051000358</v>
      </c>
      <c r="T16" s="24">
        <v>1118.4363315509909</v>
      </c>
      <c r="U16" s="16">
        <f>+T16/$T$13</f>
        <v>0.30393769414269856</v>
      </c>
      <c r="V16" s="24">
        <v>1097.6146530049846</v>
      </c>
      <c r="W16" s="16">
        <f>+V16/$V$13</f>
        <v>0.30060235403543478</v>
      </c>
      <c r="X16" s="24">
        <v>1080.3044897521404</v>
      </c>
      <c r="Y16" s="16">
        <f t="shared" si="13"/>
        <v>0.32998188551852647</v>
      </c>
      <c r="Z16" s="24">
        <v>1194.8166877444537</v>
      </c>
      <c r="AA16" s="16">
        <f>+Z16/$Z$13</f>
        <v>0.36732491536091538</v>
      </c>
      <c r="AB16" s="24">
        <v>1157.0908001262742</v>
      </c>
      <c r="AC16" s="16">
        <f>+AB16/$AV$13</f>
        <v>0.19991092196129207</v>
      </c>
      <c r="AD16" s="24">
        <v>1275.8288213073045</v>
      </c>
      <c r="AE16" s="16">
        <f t="shared" si="14"/>
        <v>0.36127959048039143</v>
      </c>
      <c r="AF16" s="24">
        <v>1328.6910751206065</v>
      </c>
      <c r="AG16" s="16">
        <f>+AF16/$AF$13</f>
        <v>0.38009224143882214</v>
      </c>
      <c r="AH16" s="24">
        <v>1328.8383682701865</v>
      </c>
      <c r="AI16" s="16">
        <f>+AH16/$AV$13</f>
        <v>0.22958380043246515</v>
      </c>
      <c r="AJ16" s="25">
        <v>1323.6277243906648</v>
      </c>
      <c r="AK16" s="2">
        <f t="shared" si="15"/>
        <v>0.37680119528255157</v>
      </c>
      <c r="AL16" s="25">
        <v>1222.3819083410424</v>
      </c>
      <c r="AM16" s="64">
        <f>+AL16/$AL$13</f>
        <v>0.2936279293037915</v>
      </c>
      <c r="AN16" s="25">
        <v>1413.2729355246888</v>
      </c>
      <c r="AO16" s="64">
        <f>+AN16/$AN$13</f>
        <v>0.30417819835971971</v>
      </c>
      <c r="AP16" s="25">
        <v>1366.4585641409847</v>
      </c>
      <c r="AQ16" s="65">
        <f t="shared" si="17"/>
        <v>0.29415684949041837</v>
      </c>
      <c r="AR16" s="25">
        <v>1326.1876437801852</v>
      </c>
      <c r="AS16" s="65">
        <f t="shared" si="18"/>
        <v>0.28512830356369284</v>
      </c>
      <c r="AT16" s="25">
        <v>1751.4552142793139</v>
      </c>
      <c r="AU16" s="65">
        <f t="shared" si="19"/>
        <v>0.30909694102554958</v>
      </c>
      <c r="AV16" s="25">
        <v>1788.7456046750635</v>
      </c>
      <c r="AW16" s="65">
        <f>+AV16/$AV$13</f>
        <v>0.30904211056364528</v>
      </c>
      <c r="AX16" s="25">
        <v>1813.8714252564341</v>
      </c>
      <c r="AY16" s="65">
        <f>+AX16/$AX$13</f>
        <v>0.32917369964651899</v>
      </c>
      <c r="AZ16" s="25">
        <v>1724.9334450366214</v>
      </c>
      <c r="BA16" s="65">
        <f>+AZ16/$AZ$13</f>
        <v>0.32839739375121035</v>
      </c>
      <c r="BB16" s="66">
        <f t="shared" si="1"/>
        <v>-4.9032130382250898E-2</v>
      </c>
      <c r="BC16" s="25">
        <v>1664.8118386181691</v>
      </c>
      <c r="BD16" s="65">
        <f>+BC16/$BC$13</f>
        <v>0.34441513819827541</v>
      </c>
      <c r="BE16" s="66">
        <f t="shared" si="2"/>
        <v>-3.4854449944980853E-2</v>
      </c>
      <c r="BF16" s="25">
        <v>1794.5690285122178</v>
      </c>
      <c r="BG16" s="65">
        <f>+BF16/$BF$13</f>
        <v>0.3457483589102136</v>
      </c>
      <c r="BH16" s="66">
        <f t="shared" si="20"/>
        <v>7.7941054288603595E-2</v>
      </c>
      <c r="BI16" s="25">
        <v>1924.2132461170604</v>
      </c>
      <c r="BJ16" s="65">
        <f t="shared" si="21"/>
        <v>0.35956151689541693</v>
      </c>
      <c r="BK16" s="66">
        <f t="shared" si="22"/>
        <v>7.2242535976631564E-2</v>
      </c>
      <c r="BL16" s="25">
        <v>2292.8643334263311</v>
      </c>
      <c r="BM16" s="65">
        <f t="shared" si="23"/>
        <v>0.37498885268683441</v>
      </c>
      <c r="BN16" s="66">
        <f t="shared" si="24"/>
        <v>0.19158535991433645</v>
      </c>
      <c r="BO16" s="25">
        <v>2195.3853616636184</v>
      </c>
      <c r="BP16" s="65">
        <f>+BO16/$BO$13</f>
        <v>0.36438680697300774</v>
      </c>
      <c r="BQ16" s="66">
        <f t="shared" si="25"/>
        <v>-4.251405996491972E-2</v>
      </c>
      <c r="BR16" s="25">
        <v>2095.9002195501384</v>
      </c>
      <c r="BS16" s="65">
        <f>+BR16/$BR$13</f>
        <v>0.3723996374791344</v>
      </c>
      <c r="BT16" s="66">
        <f t="shared" si="7"/>
        <v>-4.5315571402959574E-2</v>
      </c>
      <c r="BU16" s="25">
        <v>2235.7763236145665</v>
      </c>
      <c r="BV16" s="65">
        <f>+BU16/$BU$13</f>
        <v>0.40043470897807665</v>
      </c>
      <c r="BW16" s="66">
        <f>(+BU16-BR16)/BR16</f>
        <v>6.6737959545827494E-2</v>
      </c>
      <c r="BX16" s="25">
        <v>2042.9072842689943</v>
      </c>
      <c r="BY16" s="65">
        <f>+BX16/$BX$13</f>
        <v>0.38958766647891246</v>
      </c>
      <c r="BZ16" s="66">
        <f>(+BX16-BU16)/BU16</f>
        <v>-8.6264908214862018E-2</v>
      </c>
      <c r="CA16" s="84">
        <v>1925.546679412711</v>
      </c>
      <c r="CB16" s="65">
        <f>+CA16/$CA$13</f>
        <v>0.40538335191793856</v>
      </c>
      <c r="CC16" s="66">
        <f>(+CA16-BX16)/BX16</f>
        <v>-5.7447837089815858E-2</v>
      </c>
      <c r="CD16" s="84">
        <v>1961.3937354746636</v>
      </c>
      <c r="CE16" s="65">
        <f>+CD16/$CD$13</f>
        <v>0.39610827807381538</v>
      </c>
      <c r="CF16" s="66">
        <f>(+CD16-CA16)/CA16</f>
        <v>1.861656040085503E-2</v>
      </c>
      <c r="CG16" s="84">
        <v>1895.4099506891091</v>
      </c>
      <c r="CH16" s="65">
        <f>+CG16/$CG$13</f>
        <v>0.36732153743264789</v>
      </c>
      <c r="CI16" s="66">
        <f>(+CG16-CD16)/CD16</f>
        <v>-3.3641274361257287E-2</v>
      </c>
      <c r="CJ16" s="84">
        <v>2044.6717628808046</v>
      </c>
      <c r="CK16" s="102">
        <f>+CJ16/$CJ$13</f>
        <v>0.37813233944877678</v>
      </c>
      <c r="CL16" s="66">
        <f>(+CJ16-CG16)/CG16</f>
        <v>7.8749091792743212E-2</v>
      </c>
    </row>
    <row r="17" spans="1:90" x14ac:dyDescent="0.35">
      <c r="B17" s="1"/>
      <c r="C17" s="23"/>
      <c r="D17" s="69"/>
      <c r="E17" s="16"/>
      <c r="F17" s="69"/>
      <c r="G17" s="16"/>
      <c r="H17" s="69"/>
      <c r="I17" s="16"/>
      <c r="J17" s="16"/>
      <c r="K17" s="69"/>
      <c r="L17" s="16"/>
      <c r="M17" s="16"/>
      <c r="N17" s="69"/>
      <c r="O17" s="16"/>
      <c r="P17" s="16"/>
      <c r="Q17" s="69"/>
      <c r="R17" s="16"/>
      <c r="S17" s="16"/>
      <c r="T17" s="69"/>
      <c r="U17" s="16"/>
      <c r="V17" s="69"/>
      <c r="W17" s="16"/>
      <c r="X17" s="69"/>
      <c r="Y17" s="16"/>
      <c r="Z17" s="69"/>
      <c r="AA17" s="16"/>
      <c r="AB17" s="69"/>
      <c r="AC17" s="16"/>
      <c r="AD17" s="69"/>
      <c r="AE17" s="16"/>
      <c r="AF17" s="69"/>
      <c r="AG17" s="16"/>
      <c r="AH17" s="69"/>
      <c r="AI17" s="16"/>
      <c r="AJ17" s="26"/>
      <c r="AK17" s="2"/>
      <c r="AL17" s="26"/>
      <c r="AM17" s="64"/>
      <c r="AN17" s="26"/>
      <c r="AO17" s="64"/>
      <c r="AP17" s="26"/>
      <c r="AQ17" s="65"/>
      <c r="AR17" s="26"/>
      <c r="AS17" s="65"/>
      <c r="AT17" s="26"/>
      <c r="AU17" s="65"/>
      <c r="AV17" s="26"/>
      <c r="AW17" s="65"/>
      <c r="AX17" s="26"/>
      <c r="AY17" s="65"/>
      <c r="AZ17" s="26"/>
      <c r="BA17" s="65"/>
      <c r="BB17" s="66"/>
      <c r="BC17" s="26"/>
      <c r="BD17" s="65"/>
      <c r="BE17" s="66"/>
      <c r="BF17" s="26"/>
      <c r="BG17" s="65"/>
      <c r="BH17" s="66"/>
      <c r="BI17" s="26"/>
      <c r="BJ17" s="65"/>
      <c r="BK17" s="66"/>
      <c r="BL17" s="26"/>
      <c r="BM17" s="65"/>
      <c r="BN17" s="66"/>
      <c r="BO17" s="66"/>
      <c r="BP17" s="65"/>
      <c r="BQ17" s="66"/>
      <c r="BR17" s="26"/>
      <c r="BS17" s="65"/>
      <c r="BT17" s="66"/>
      <c r="BU17" s="26"/>
      <c r="BV17" s="65"/>
      <c r="BW17" s="66"/>
      <c r="BX17" s="26"/>
      <c r="BY17" s="65"/>
      <c r="BZ17" s="66"/>
      <c r="CA17" s="26"/>
      <c r="CB17" s="65"/>
      <c r="CC17" s="66"/>
      <c r="CD17" s="26"/>
      <c r="CE17" s="65"/>
      <c r="CF17" s="66"/>
      <c r="CG17" s="26"/>
      <c r="CH17" s="65"/>
      <c r="CI17" s="66"/>
      <c r="CJ17" s="26"/>
      <c r="CK17" s="65"/>
      <c r="CL17" s="66"/>
    </row>
    <row r="18" spans="1:90" x14ac:dyDescent="0.35">
      <c r="B18" s="1"/>
      <c r="C18" s="20" t="s">
        <v>24</v>
      </c>
      <c r="D18" s="27">
        <f>+D19+D20+D21</f>
        <v>364.34216589621792</v>
      </c>
      <c r="E18" s="17">
        <v>3.4565508557327193E-2</v>
      </c>
      <c r="F18" s="27">
        <f>+F19+F20+F21</f>
        <v>357.08456599030626</v>
      </c>
      <c r="G18" s="17">
        <v>3.5323606401685123E-2</v>
      </c>
      <c r="H18" s="27">
        <f>+H19+H20+H21</f>
        <v>380.55053145111907</v>
      </c>
      <c r="I18" s="17">
        <v>3.6034949341898721E-2</v>
      </c>
      <c r="J18" s="17">
        <f t="shared" ref="J18:J38" si="32">(+H18-F18)/F18</f>
        <v>6.571542904895486E-2</v>
      </c>
      <c r="K18" s="27">
        <f>+K19+K20+K21</f>
        <v>362.35650658560343</v>
      </c>
      <c r="L18" s="17">
        <v>3.0947188514016923E-2</v>
      </c>
      <c r="M18" s="17">
        <f>(+K18-H18)/H18</f>
        <v>-4.7809747620475018E-2</v>
      </c>
      <c r="N18" s="27">
        <f>+N19+N20+N21</f>
        <v>365.34439446463512</v>
      </c>
      <c r="O18" s="17">
        <v>3.1202370159083632E-2</v>
      </c>
      <c r="P18" s="17">
        <f>(+N18-H18)/H18</f>
        <v>-3.9958259757251584E-2</v>
      </c>
      <c r="Q18" s="27">
        <f>+Q19+Q20+Q21</f>
        <v>439.29455783624604</v>
      </c>
      <c r="R18" s="17">
        <v>3.7518110610574446E-2</v>
      </c>
      <c r="S18" s="17">
        <f>(+Q18-K18)/K18</f>
        <v>0.21232694832945329</v>
      </c>
      <c r="T18" s="27">
        <f>+T19+T20+T21</f>
        <v>506.24748089717116</v>
      </c>
      <c r="U18" s="17">
        <f>+T18/$T$12</f>
        <v>4.3236249222338076E-2</v>
      </c>
      <c r="V18" s="27">
        <f>+V19+V20+V21</f>
        <v>507.61105063630123</v>
      </c>
      <c r="W18" s="17">
        <f>+V18/$V$12</f>
        <v>4.336659480542604E-2</v>
      </c>
      <c r="X18" s="27">
        <f>+X19+X20+X21</f>
        <v>541.49022532809931</v>
      </c>
      <c r="Y18" s="17">
        <f>+V18/$X$12</f>
        <v>4.4260670149237527E-2</v>
      </c>
      <c r="Z18" s="27">
        <f>+Z19+Z20+Z21</f>
        <v>588.91875479016892</v>
      </c>
      <c r="AA18" s="17">
        <f>+Z18/$Z$12</f>
        <v>5.2511435783226638E-2</v>
      </c>
      <c r="AB18" s="27">
        <f>+AB19+AB20+AB21</f>
        <v>597.05091826330067</v>
      </c>
      <c r="AC18" s="17">
        <f>+AB18/$AV$12</f>
        <v>3.4440290446662504E-2</v>
      </c>
      <c r="AD18" s="27">
        <f>+AD19+AD20+AD21</f>
        <v>691.36335912276604</v>
      </c>
      <c r="AE18" s="16">
        <f>+AD18/$AD$38</f>
        <v>2.4953757939315108E-2</v>
      </c>
      <c r="AF18" s="27">
        <f>+AF19+AF20+AF21</f>
        <v>763.28308407994484</v>
      </c>
      <c r="AG18" s="17">
        <f>+AF18/$AV$12</f>
        <v>4.4029228169019732E-2</v>
      </c>
      <c r="AH18" s="27">
        <f>+AH19+AH20+AH21</f>
        <v>744.33126509179999</v>
      </c>
      <c r="AI18" s="17">
        <f>+AH18/$AV$12</f>
        <v>4.2936011274985184E-2</v>
      </c>
      <c r="AJ18" s="28">
        <f>+AJ19+AJ20+AJ21</f>
        <v>738.38039135210249</v>
      </c>
      <c r="AK18" s="19">
        <f>+AJ18/$AJ$12</f>
        <v>5.2220832688823597E-2</v>
      </c>
      <c r="AL18" s="28">
        <f>+AL19+AL20+AL21</f>
        <v>796.1696591973481</v>
      </c>
      <c r="AM18" s="67">
        <f>+AL18/$AL$12</f>
        <v>5.2541725193546412E-2</v>
      </c>
      <c r="AN18" s="28">
        <f>+AN19+AN20+AN21</f>
        <v>860.2328654622321</v>
      </c>
      <c r="AO18" s="67">
        <f>+AN18/$AN$12</f>
        <v>5.4868359174611886E-2</v>
      </c>
      <c r="AP18" s="28">
        <f>+AP19+AP20+AP21</f>
        <v>794.40922796803852</v>
      </c>
      <c r="AQ18" s="68">
        <f>+AP18/$AP$12</f>
        <v>5.1298004675494335E-2</v>
      </c>
      <c r="AR18" s="28">
        <f>+AR19+AR20+AR21</f>
        <v>977.32985306422142</v>
      </c>
      <c r="AS18" s="68">
        <f>+AR18/$AR$12</f>
        <v>6.1495435824560837E-2</v>
      </c>
      <c r="AT18" s="28">
        <f>+AT19+AT20+AT21</f>
        <v>1210.5190245230465</v>
      </c>
      <c r="AU18" s="68">
        <f>+AT18/$AT$12</f>
        <v>7.0739885993638563E-2</v>
      </c>
      <c r="AV18" s="28">
        <f>+AV19+AV20+AV21</f>
        <v>1225.6038732349236</v>
      </c>
      <c r="AW18" s="68">
        <f>+AV18/$AV$12</f>
        <v>7.069774465726647E-2</v>
      </c>
      <c r="AX18" s="28">
        <f>+AX19+AX20+AX21</f>
        <v>1233.9329904759907</v>
      </c>
      <c r="AY18" s="68">
        <f>+AX18/$AX$12</f>
        <v>7.20584319010074E-2</v>
      </c>
      <c r="AZ18" s="28">
        <f>+AZ19+AZ20+AZ21</f>
        <v>1371.4565744027391</v>
      </c>
      <c r="BA18" s="68">
        <f>+AZ18/$AZ$12</f>
        <v>7.9611222024615638E-2</v>
      </c>
      <c r="BB18" s="66">
        <f t="shared" si="1"/>
        <v>0.1114514199621963</v>
      </c>
      <c r="BC18" s="28">
        <f>+BC19+BC20+BC21</f>
        <v>1264.9210401991566</v>
      </c>
      <c r="BD18" s="68">
        <f>+BC18/$BC$12</f>
        <v>7.8990385300729216E-2</v>
      </c>
      <c r="BE18" s="66">
        <f t="shared" si="2"/>
        <v>-7.7680574209925746E-2</v>
      </c>
      <c r="BF18" s="28">
        <f>+BF19+BF20+BF21</f>
        <v>1384.5649386269583</v>
      </c>
      <c r="BG18" s="68">
        <f>+BF18/$AZ$12</f>
        <v>8.03721450564574E-2</v>
      </c>
      <c r="BH18" s="66">
        <f t="shared" ref="BH18:BH21" si="33">(+BF18-BC18)/BC18</f>
        <v>9.4586060809743785E-2</v>
      </c>
      <c r="BI18" s="28">
        <f>+BI19+BI20+BI21</f>
        <v>1476.7794690722844</v>
      </c>
      <c r="BJ18" s="68">
        <f>+BI18/$BI$12</f>
        <v>8.3761237636109181E-2</v>
      </c>
      <c r="BK18" s="66">
        <f t="shared" ref="BK18:BK21" si="34">(+BI18-BF18)/BF18</f>
        <v>6.6601809617375662E-2</v>
      </c>
      <c r="BL18" s="28">
        <f>+BL19+BL20+BL21</f>
        <v>1650.3468650782979</v>
      </c>
      <c r="BM18" s="68">
        <f>+BL18/$BL$12</f>
        <v>7.618808585738078E-2</v>
      </c>
      <c r="BN18" s="66">
        <f t="shared" ref="BN18:BN21" si="35">(+BL18-BI18)/BI18</f>
        <v>0.11753101911353687</v>
      </c>
      <c r="BO18" s="28">
        <f>+BO19+BO20+BO21</f>
        <v>1694.7004194284677</v>
      </c>
      <c r="BP18" s="68">
        <f>+BO18/$BO$12</f>
        <v>0.16742274263491255</v>
      </c>
      <c r="BQ18" s="66">
        <f t="shared" ref="BQ18:BQ21" si="36">(+BO18-BL18)/BL18</f>
        <v>2.6875292272612969E-2</v>
      </c>
      <c r="BR18" s="28">
        <f>+BR19+BR20+BR21</f>
        <v>1685.114792626842</v>
      </c>
      <c r="BS18" s="68">
        <f>+BR18/$BR$12</f>
        <v>0.17706663707189474</v>
      </c>
      <c r="BT18" s="66">
        <f t="shared" si="7"/>
        <v>-5.6562367553189396E-3</v>
      </c>
      <c r="BU18" s="28">
        <f>+BU19+BU20+BU21</f>
        <v>1704.0418574421651</v>
      </c>
      <c r="BV18" s="68">
        <f>+BU18/$BU$12</f>
        <v>0.17732815858437251</v>
      </c>
      <c r="BW18" s="66">
        <f t="shared" ref="BW18:BW21" si="37">(+BU18-BR18)/BR18</f>
        <v>1.1231914228121295E-2</v>
      </c>
      <c r="BX18" s="28">
        <f>+BX19+BX20+BX21</f>
        <v>1634.4101035985855</v>
      </c>
      <c r="BY18" s="68">
        <f>+BX18/$BX$12</f>
        <v>0.17840628886892254</v>
      </c>
      <c r="BZ18" s="66">
        <f t="shared" ref="BZ18:BZ21" si="38">(+BX18-BU18)/BU18</f>
        <v>-4.086270154660384E-2</v>
      </c>
      <c r="CA18" s="28">
        <f>+CA19+CA20+CA21</f>
        <v>1364.7836436739242</v>
      </c>
      <c r="CB18" s="68">
        <f>+CA18/$CA$12</f>
        <v>0.1648759213382304</v>
      </c>
      <c r="CC18" s="66">
        <f t="shared" ref="CC18:CC21" si="39">(+CA18-BX18)/BX18</f>
        <v>-0.16496866932663193</v>
      </c>
      <c r="CD18" s="28">
        <f>+CD19+CD20+CD21</f>
        <v>1299.7195719267154</v>
      </c>
      <c r="CE18" s="68">
        <f>+CD18/$CD$12</f>
        <v>0.15040410231492576</v>
      </c>
      <c r="CF18" s="66">
        <f t="shared" ref="CF18:CF21" si="40">(+CD18-CA18)/CA18</f>
        <v>-4.767354301818845E-2</v>
      </c>
      <c r="CG18" s="28">
        <f>+CG19+CG20+CG21</f>
        <v>1341.2022671794032</v>
      </c>
      <c r="CH18" s="68">
        <f>+CG18/$CG$12</f>
        <v>0.1500085856272915</v>
      </c>
      <c r="CI18" s="66">
        <f t="shared" ref="CI18:CI21" si="41">(+CG18-CD18)/CD18</f>
        <v>3.1916650444213504E-2</v>
      </c>
      <c r="CJ18" s="28">
        <f>+CJ19+CJ20+CJ21</f>
        <v>1481.4337065196523</v>
      </c>
      <c r="CK18" s="103">
        <f>+CJ18/$CJ$12</f>
        <v>0.15717638883191623</v>
      </c>
      <c r="CL18" s="66">
        <f t="shared" ref="CL18:CL21" si="42">(+CJ18-CG18)/CG18</f>
        <v>0.10455651826115753</v>
      </c>
    </row>
    <row r="19" spans="1:90" x14ac:dyDescent="0.35">
      <c r="B19" s="1"/>
      <c r="C19" s="23" t="s">
        <v>16</v>
      </c>
      <c r="D19" s="24">
        <v>263.03950983903286</v>
      </c>
      <c r="E19" s="16">
        <v>0.72195736442418557</v>
      </c>
      <c r="F19" s="24">
        <v>257.0238986759507</v>
      </c>
      <c r="G19" s="16">
        <v>0.71978439606635958</v>
      </c>
      <c r="H19" s="24">
        <v>275.21815176591582</v>
      </c>
      <c r="I19" s="16">
        <v>0.72321053058696627</v>
      </c>
      <c r="J19" s="16">
        <f t="shared" si="32"/>
        <v>7.0788176444650283E-2</v>
      </c>
      <c r="K19" s="24">
        <v>265.35536972445067</v>
      </c>
      <c r="L19" s="16">
        <v>0.73230469137929743</v>
      </c>
      <c r="M19" s="16">
        <f>(+K19-H19)/H19</f>
        <v>-3.5836233831894375E-2</v>
      </c>
      <c r="N19" s="24">
        <v>269.08290746435557</v>
      </c>
      <c r="O19" s="16">
        <v>0.73651850566548782</v>
      </c>
      <c r="P19" s="16">
        <f>(+N19-H19)/H19</f>
        <v>-2.2292295265388319E-2</v>
      </c>
      <c r="Q19" s="24">
        <v>323.37237813108032</v>
      </c>
      <c r="R19" s="16">
        <v>0.73611742363451371</v>
      </c>
      <c r="S19" s="16">
        <f>(+Q19-K19)/K19</f>
        <v>0.21863890852058301</v>
      </c>
      <c r="T19" s="24">
        <v>365.47311486403021</v>
      </c>
      <c r="U19" s="16">
        <f>+T19/$T$18</f>
        <v>0.72192579450734096</v>
      </c>
      <c r="V19" s="24">
        <v>343.19640202878026</v>
      </c>
      <c r="W19" s="16">
        <f>+V19/$AV$18</f>
        <v>0.28002228903122633</v>
      </c>
      <c r="X19" s="24">
        <v>379.89934134243146</v>
      </c>
      <c r="Y19" s="16">
        <f>+V19/$X$18</f>
        <v>0.63379981018278031</v>
      </c>
      <c r="Z19" s="24">
        <v>424.11615782856859</v>
      </c>
      <c r="AA19" s="16">
        <f>+Z19/$Z$18</f>
        <v>0.72016072570091727</v>
      </c>
      <c r="AB19" s="24">
        <v>413.76544262803367</v>
      </c>
      <c r="AC19" s="16">
        <f>+AB19/$AV$18</f>
        <v>0.3376012851003149</v>
      </c>
      <c r="AD19" s="24">
        <v>454.12880018966774</v>
      </c>
      <c r="AE19" s="16">
        <f>+AD19/$AD$18</f>
        <v>0.6568598034554326</v>
      </c>
      <c r="AF19" s="24">
        <v>544.89647139903514</v>
      </c>
      <c r="AG19" s="16">
        <f t="shared" ref="AG19:AG20" si="43">+AF19/$AF$18</f>
        <v>0.71388516628250565</v>
      </c>
      <c r="AH19" s="24">
        <v>546.23871812825837</v>
      </c>
      <c r="AI19" s="16">
        <f>+AH19/$AV$18</f>
        <v>0.44568945158967799</v>
      </c>
      <c r="AJ19" s="25">
        <v>542.05397375906239</v>
      </c>
      <c r="AK19" s="2">
        <f>+AJ19/$AJ$18</f>
        <v>0.73411209196179705</v>
      </c>
      <c r="AL19" s="25">
        <v>613.16437870945958</v>
      </c>
      <c r="AM19" s="64">
        <f>+AL19/$AL$18</f>
        <v>0.77014286041447022</v>
      </c>
      <c r="AN19" s="25">
        <v>644.48092917396048</v>
      </c>
      <c r="AO19" s="64">
        <f>+AN19/$AN$18</f>
        <v>0.74919356728792175</v>
      </c>
      <c r="AP19" s="25">
        <v>606.57616949693056</v>
      </c>
      <c r="AQ19" s="65">
        <f>+AP19/$AP$18</f>
        <v>0.76355629836834538</v>
      </c>
      <c r="AR19" s="25">
        <v>794.89836735739459</v>
      </c>
      <c r="AS19" s="65">
        <f>+AR19/$AR$18</f>
        <v>0.81333683286676495</v>
      </c>
      <c r="AT19" s="25">
        <v>994.90973107986861</v>
      </c>
      <c r="AU19" s="65">
        <f>+AT19/$AT$18</f>
        <v>0.82188690216733307</v>
      </c>
      <c r="AV19" s="25">
        <v>987.07006803104332</v>
      </c>
      <c r="AW19" s="65">
        <f>+AV19/$AV$18</f>
        <v>0.80537446852686456</v>
      </c>
      <c r="AX19" s="25">
        <v>1018.3212932848786</v>
      </c>
      <c r="AY19" s="65">
        <f>+AX19/$AX$18</f>
        <v>0.82526466278534327</v>
      </c>
      <c r="AZ19" s="25">
        <v>1139.1440893546758</v>
      </c>
      <c r="BA19" s="65">
        <f>+AZ19/$AZ$18</f>
        <v>0.83060893842064665</v>
      </c>
      <c r="BB19" s="66">
        <f t="shared" si="1"/>
        <v>0.11864899306980965</v>
      </c>
      <c r="BC19" s="25">
        <v>1056.8367071819089</v>
      </c>
      <c r="BD19" s="65">
        <f>+BC19/$BC$18</f>
        <v>0.83549618797985548</v>
      </c>
      <c r="BE19" s="66">
        <f t="shared" si="2"/>
        <v>-7.2253706042923818E-2</v>
      </c>
      <c r="BF19" s="25">
        <v>1165.9040941987546</v>
      </c>
      <c r="BG19" s="65">
        <f>+BF19/$AZ$18</f>
        <v>0.85012104353832618</v>
      </c>
      <c r="BH19" s="66">
        <f t="shared" si="33"/>
        <v>0.10320173994303966</v>
      </c>
      <c r="BI19" s="25">
        <v>1251.4990571185999</v>
      </c>
      <c r="BJ19" s="65">
        <f>+BI19/$BI$18</f>
        <v>0.84745155477059408</v>
      </c>
      <c r="BK19" s="66">
        <f t="shared" si="34"/>
        <v>7.341509764460416E-2</v>
      </c>
      <c r="BL19" s="25">
        <v>1401.2061372433602</v>
      </c>
      <c r="BM19" s="65">
        <f>+BL19/$BL$18</f>
        <v>0.84903735505134692</v>
      </c>
      <c r="BN19" s="66">
        <f t="shared" si="35"/>
        <v>0.11962220768223328</v>
      </c>
      <c r="BO19" s="25">
        <v>1398.0420353887496</v>
      </c>
      <c r="BP19" s="65">
        <f>+BO19/$BO$18</f>
        <v>0.82494936530447949</v>
      </c>
      <c r="BQ19" s="66">
        <f t="shared" si="36"/>
        <v>-2.2581273165385063E-3</v>
      </c>
      <c r="BR19" s="25">
        <v>1393.3608572621145</v>
      </c>
      <c r="BS19" s="65">
        <f>+BR19/$BR$18</f>
        <v>0.82686405897017445</v>
      </c>
      <c r="BT19" s="66">
        <f t="shared" si="7"/>
        <v>-3.3483815279799151E-3</v>
      </c>
      <c r="BU19" s="25">
        <v>1395.5020976468547</v>
      </c>
      <c r="BV19" s="65">
        <f>+BU19/$BU$18</f>
        <v>0.81893651353233721</v>
      </c>
      <c r="BW19" s="66">
        <f t="shared" si="37"/>
        <v>1.5367450388607282E-3</v>
      </c>
      <c r="BX19" s="25">
        <v>1343.9541246261595</v>
      </c>
      <c r="BY19" s="65">
        <f>+BX19/$BX$18</f>
        <v>0.82228696559516457</v>
      </c>
      <c r="BZ19" s="66">
        <f t="shared" si="38"/>
        <v>-3.6938656779962789E-2</v>
      </c>
      <c r="CA19" s="84">
        <v>1102.8694630597679</v>
      </c>
      <c r="CB19" s="65">
        <f>+CA19/$CA$18</f>
        <v>0.80809106129884634</v>
      </c>
      <c r="CC19" s="66">
        <f t="shared" si="39"/>
        <v>-0.17938459144463192</v>
      </c>
      <c r="CD19" s="84">
        <v>1046.490288122623</v>
      </c>
      <c r="CE19" s="68">
        <f>+CD19/$CD$18</f>
        <v>0.80516621487148721</v>
      </c>
      <c r="CF19" s="66">
        <f t="shared" si="40"/>
        <v>-5.1120442468982834E-2</v>
      </c>
      <c r="CG19" s="84">
        <v>1101.8842454406977</v>
      </c>
      <c r="CH19" s="68">
        <f>+CG19/$CG$18</f>
        <v>0.82156455622312663</v>
      </c>
      <c r="CI19" s="66">
        <f t="shared" si="41"/>
        <v>5.2933083036489498E-2</v>
      </c>
      <c r="CJ19" s="84">
        <v>1215.8104502921847</v>
      </c>
      <c r="CK19" s="103">
        <f>+CJ19/$CJ$18</f>
        <v>0.82069851991453657</v>
      </c>
      <c r="CL19" s="66">
        <f t="shared" si="42"/>
        <v>0.10339217147616292</v>
      </c>
    </row>
    <row r="20" spans="1:90" x14ac:dyDescent="0.35">
      <c r="B20" s="1"/>
      <c r="C20" s="23" t="s">
        <v>17</v>
      </c>
      <c r="D20" s="24">
        <v>40.655942906488306</v>
      </c>
      <c r="E20" s="16">
        <v>0.11158725701287361</v>
      </c>
      <c r="F20" s="24">
        <v>38.478997560204149</v>
      </c>
      <c r="G20" s="16">
        <v>0.10775878104249606</v>
      </c>
      <c r="H20" s="24">
        <v>34.680539854948528</v>
      </c>
      <c r="I20" s="16">
        <v>9.1132548738545566E-2</v>
      </c>
      <c r="J20" s="16">
        <f t="shared" si="32"/>
        <v>-9.8715089947771215E-2</v>
      </c>
      <c r="K20" s="24">
        <v>30.24219022704046</v>
      </c>
      <c r="L20" s="16">
        <v>8.345976870128595E-2</v>
      </c>
      <c r="M20" s="16">
        <f>(+K20-H20)/H20</f>
        <v>-0.12797810087361614</v>
      </c>
      <c r="N20" s="24">
        <v>29.833370142577571</v>
      </c>
      <c r="O20" s="16">
        <v>8.1658212345900399E-2</v>
      </c>
      <c r="P20" s="16">
        <f>(+N20-H20)/H20</f>
        <v>-0.13976627043997181</v>
      </c>
      <c r="Q20" s="24">
        <v>29.731947974548191</v>
      </c>
      <c r="R20" s="16">
        <v>6.7681120660800995E-2</v>
      </c>
      <c r="S20" s="16">
        <f>(+Q20-K20)/K20</f>
        <v>-1.6871868362101819E-2</v>
      </c>
      <c r="T20" s="24">
        <v>33.008278186598901</v>
      </c>
      <c r="U20" s="16">
        <f t="shared" ref="U20:U21" si="44">+T20/$T$18</f>
        <v>6.520186160354155E-2</v>
      </c>
      <c r="V20" s="24">
        <v>34.946228047239103</v>
      </c>
      <c r="W20" s="16">
        <f>+V20/$AV$18</f>
        <v>2.8513477160446776E-2</v>
      </c>
      <c r="X20" s="24">
        <v>35.988909313407532</v>
      </c>
      <c r="Y20" s="16">
        <f t="shared" ref="Y20:Y21" si="45">+V20/$X$18</f>
        <v>6.4537135506120197E-2</v>
      </c>
      <c r="Z20" s="24">
        <v>36.034533930010006</v>
      </c>
      <c r="AA20" s="16">
        <f>+Z20/$Z$18</f>
        <v>6.118761482277648E-2</v>
      </c>
      <c r="AB20" s="24">
        <v>36.899393824397173</v>
      </c>
      <c r="AC20" s="16">
        <f>+AB20/$AV$18</f>
        <v>3.0107112608091686E-2</v>
      </c>
      <c r="AD20" s="24">
        <v>42.045440151788441</v>
      </c>
      <c r="AE20" s="16">
        <f t="shared" ref="AE20:AE21" si="46">+AD20/$AD$18</f>
        <v>6.081525669097889E-2</v>
      </c>
      <c r="AF20" s="24">
        <v>39.023638869745</v>
      </c>
      <c r="AG20" s="16">
        <f t="shared" si="43"/>
        <v>5.1126036569752849E-2</v>
      </c>
      <c r="AH20" s="24">
        <v>38.698343504263079</v>
      </c>
      <c r="AI20" s="16">
        <f>+AH20/$AV$18</f>
        <v>3.1574919392283435E-2</v>
      </c>
      <c r="AJ20" s="25">
        <v>38.347703859697582</v>
      </c>
      <c r="AK20" s="2">
        <f t="shared" ref="AK20:AK21" si="47">+AJ20/$AJ$18</f>
        <v>5.1934889264158665E-2</v>
      </c>
      <c r="AL20" s="25">
        <v>24.771019803337104</v>
      </c>
      <c r="AM20" s="64">
        <f t="shared" ref="AM20:AM21" si="48">+AL20/$AL$18</f>
        <v>3.1112740252259557E-2</v>
      </c>
      <c r="AN20" s="25">
        <v>36.006097202496946</v>
      </c>
      <c r="AO20" s="64">
        <f t="shared" ref="AO20:AO21" si="49">+AN20/$AN$18</f>
        <v>4.1856221318804947E-2</v>
      </c>
      <c r="AP20" s="25">
        <v>32.667464027024394</v>
      </c>
      <c r="AQ20" s="65">
        <f t="shared" ref="AQ20:AQ21" si="50">+AP20/$AP$18</f>
        <v>4.1121707650076174E-2</v>
      </c>
      <c r="AR20" s="25">
        <v>26.532085628508028</v>
      </c>
      <c r="AS20" s="65">
        <f t="shared" ref="AS20:AS21" si="51">+AR20/$AR$18</f>
        <v>2.7147523986218166E-2</v>
      </c>
      <c r="AT20" s="25">
        <v>42.504917310203616</v>
      </c>
      <c r="AU20" s="65">
        <f t="shared" ref="AU20:AU21" si="52">+AT20/$AT$18</f>
        <v>3.5112969271136295E-2</v>
      </c>
      <c r="AV20" s="25">
        <v>43.384462468193384</v>
      </c>
      <c r="AW20" s="65">
        <f>+AV20/$AV$18</f>
        <v>3.5398437795143498E-2</v>
      </c>
      <c r="AX20" s="25">
        <v>45.41241888401332</v>
      </c>
      <c r="AY20" s="65">
        <f>+AX20/$AX$18</f>
        <v>3.680298625170516E-2</v>
      </c>
      <c r="AZ20" s="25">
        <v>47.491003251569595</v>
      </c>
      <c r="BA20" s="65">
        <f>+AZ20/$AZ$18</f>
        <v>3.4628149471120973E-2</v>
      </c>
      <c r="BB20" s="66">
        <f t="shared" si="1"/>
        <v>4.5771276197930193E-2</v>
      </c>
      <c r="BC20" s="25">
        <v>39.217628439770607</v>
      </c>
      <c r="BD20" s="65">
        <f t="shared" ref="BD20:BD21" si="53">+BC20/$BC$18</f>
        <v>3.100401305175219E-2</v>
      </c>
      <c r="BE20" s="66">
        <f t="shared" si="2"/>
        <v>-0.17420930798141329</v>
      </c>
      <c r="BF20" s="25">
        <v>42.581267579676535</v>
      </c>
      <c r="BG20" s="65">
        <f>+BF20/$AZ$18</f>
        <v>3.1048206975288602E-2</v>
      </c>
      <c r="BH20" s="66">
        <f t="shared" si="33"/>
        <v>8.5768550361777121E-2</v>
      </c>
      <c r="BI20" s="25">
        <v>47.897889164045239</v>
      </c>
      <c r="BJ20" s="65">
        <f t="shared" ref="BJ20:BJ21" si="54">+BI20/$BI$18</f>
        <v>3.2434016159592724E-2</v>
      </c>
      <c r="BK20" s="66">
        <f t="shared" si="34"/>
        <v>0.12485822725733642</v>
      </c>
      <c r="BL20" s="25">
        <v>54.334400103071914</v>
      </c>
      <c r="BM20" s="65">
        <f t="shared" ref="BM20:BM21" si="55">+BL20/$BL$18</f>
        <v>3.2923018338023205E-2</v>
      </c>
      <c r="BN20" s="66">
        <f t="shared" si="35"/>
        <v>0.13437984536191774</v>
      </c>
      <c r="BO20" s="25">
        <v>56.698980615485702</v>
      </c>
      <c r="BP20" s="65">
        <f>+BO20/$BO$18</f>
        <v>3.3456639277051253E-2</v>
      </c>
      <c r="BQ20" s="66">
        <f t="shared" si="36"/>
        <v>4.3519032287615174E-2</v>
      </c>
      <c r="BR20" s="25">
        <v>53.857669436749767</v>
      </c>
      <c r="BS20" s="65">
        <f>+BR20/$BR$18</f>
        <v>3.1960831198207994E-2</v>
      </c>
      <c r="BT20" s="66">
        <f t="shared" si="7"/>
        <v>-5.0112209212451214E-2</v>
      </c>
      <c r="BU20" s="25">
        <v>55.423610020621702</v>
      </c>
      <c r="BV20" s="65">
        <f>+BU20/$BU$18</f>
        <v>3.2524793788701149E-2</v>
      </c>
      <c r="BW20" s="66">
        <f t="shared" si="37"/>
        <v>2.9075535578288798E-2</v>
      </c>
      <c r="BX20" s="25">
        <v>53.665009323546911</v>
      </c>
      <c r="BY20" s="65">
        <f>+BX20/$BX$18</f>
        <v>3.2834482120117359E-2</v>
      </c>
      <c r="BZ20" s="66">
        <f t="shared" si="38"/>
        <v>-3.173017232945418E-2</v>
      </c>
      <c r="CA20" s="84">
        <v>49.394202713185628</v>
      </c>
      <c r="CB20" s="65">
        <f>+CA20/$CA$18</f>
        <v>3.6191965621905527E-2</v>
      </c>
      <c r="CC20" s="66">
        <f t="shared" si="39"/>
        <v>-7.958270508465852E-2</v>
      </c>
      <c r="CD20" s="84">
        <v>40.812933297368119</v>
      </c>
      <c r="CE20" s="68">
        <f>+CD20/$CD$18</f>
        <v>3.1401337780015637E-2</v>
      </c>
      <c r="CF20" s="66">
        <f t="shared" si="40"/>
        <v>-0.17373029514507715</v>
      </c>
      <c r="CG20" s="84">
        <v>0.36977459777530153</v>
      </c>
      <c r="CH20" s="68">
        <f>+CG20/$CG$18</f>
        <v>2.7570382694994312E-4</v>
      </c>
      <c r="CI20" s="66">
        <f t="shared" si="41"/>
        <v>-0.99093976913932946</v>
      </c>
      <c r="CJ20" s="84">
        <v>0.37130505253227408</v>
      </c>
      <c r="CK20" s="103">
        <f>+CJ20/$CJ$18</f>
        <v>2.5063899309040626E-4</v>
      </c>
      <c r="CL20" s="66">
        <f t="shared" si="42"/>
        <v>4.1388855972809575E-3</v>
      </c>
    </row>
    <row r="21" spans="1:90" x14ac:dyDescent="0.35">
      <c r="B21" s="1"/>
      <c r="C21" s="23" t="s">
        <v>18</v>
      </c>
      <c r="D21" s="24">
        <v>60.646713150696783</v>
      </c>
      <c r="E21" s="16">
        <v>0.16645537856294093</v>
      </c>
      <c r="F21" s="24">
        <v>61.581669754151385</v>
      </c>
      <c r="G21" s="16">
        <v>0.17245682289114433</v>
      </c>
      <c r="H21" s="24">
        <v>70.651839830254758</v>
      </c>
      <c r="I21" s="16">
        <v>0.18565692067448825</v>
      </c>
      <c r="J21" s="16">
        <f t="shared" si="32"/>
        <v>0.14728684870536382</v>
      </c>
      <c r="K21" s="24">
        <v>66.758946634112306</v>
      </c>
      <c r="L21" s="16">
        <v>0.18423553991941666</v>
      </c>
      <c r="M21" s="16">
        <f>(+K21-H21)/H21</f>
        <v>-5.5099671933460749E-2</v>
      </c>
      <c r="N21" s="24">
        <v>66.42811685770198</v>
      </c>
      <c r="O21" s="16">
        <v>0.18182328198861181</v>
      </c>
      <c r="P21" s="16">
        <f>(+N21-H21)/H21</f>
        <v>-5.9782207833518897E-2</v>
      </c>
      <c r="Q21" s="24">
        <v>86.190231730617541</v>
      </c>
      <c r="R21" s="16">
        <v>0.19620145570468531</v>
      </c>
      <c r="S21" s="16">
        <f>(+Q21-K21)/K21</f>
        <v>0.29106638250305</v>
      </c>
      <c r="T21" s="24">
        <v>107.76608784654208</v>
      </c>
      <c r="U21" s="16">
        <f t="shared" si="44"/>
        <v>0.21287234388911752</v>
      </c>
      <c r="V21" s="24">
        <v>129.46842056028183</v>
      </c>
      <c r="W21" s="16">
        <f>+V21/$AV$18</f>
        <v>0.10563643228260697</v>
      </c>
      <c r="X21" s="24">
        <v>125.60197467226028</v>
      </c>
      <c r="Y21" s="16">
        <f t="shared" si="45"/>
        <v>0.23909650535581584</v>
      </c>
      <c r="Z21" s="24">
        <v>128.76806303159034</v>
      </c>
      <c r="AA21" s="16">
        <f>+Z21/$Z$18</f>
        <v>0.2186516594763063</v>
      </c>
      <c r="AB21" s="24">
        <v>146.38608181086983</v>
      </c>
      <c r="AC21" s="16">
        <f>+AB21/$AV$18</f>
        <v>0.11943996343981082</v>
      </c>
      <c r="AD21" s="24">
        <v>195.1891187813099</v>
      </c>
      <c r="AE21" s="16">
        <f t="shared" si="46"/>
        <v>0.28232493985358859</v>
      </c>
      <c r="AF21" s="24">
        <v>179.36297381116472</v>
      </c>
      <c r="AG21" s="16">
        <f>+AF21/$AF$18</f>
        <v>0.23498879714774157</v>
      </c>
      <c r="AH21" s="24">
        <v>159.39420345927851</v>
      </c>
      <c r="AI21" s="16">
        <f>+AH21/$AV$18</f>
        <v>0.13005360617747155</v>
      </c>
      <c r="AJ21" s="25">
        <v>157.97871373334252</v>
      </c>
      <c r="AK21" s="2">
        <f t="shared" si="47"/>
        <v>0.21395301877404424</v>
      </c>
      <c r="AL21" s="25">
        <v>158.23426068455134</v>
      </c>
      <c r="AM21" s="64">
        <f t="shared" si="48"/>
        <v>0.19874439933327015</v>
      </c>
      <c r="AN21" s="25">
        <v>179.74583908577469</v>
      </c>
      <c r="AO21" s="64">
        <f t="shared" si="49"/>
        <v>0.20895021139327338</v>
      </c>
      <c r="AP21" s="25">
        <v>155.16559444408352</v>
      </c>
      <c r="AQ21" s="65">
        <f t="shared" si="50"/>
        <v>0.19532199398157835</v>
      </c>
      <c r="AR21" s="25">
        <v>155.89940007831873</v>
      </c>
      <c r="AS21" s="65">
        <f t="shared" si="51"/>
        <v>0.15951564314701683</v>
      </c>
      <c r="AT21" s="25">
        <v>173.10437613297435</v>
      </c>
      <c r="AU21" s="65">
        <f t="shared" si="52"/>
        <v>0.14300012856153069</v>
      </c>
      <c r="AV21" s="25">
        <v>195.14934273568704</v>
      </c>
      <c r="AW21" s="65">
        <f>+AV21/$AV$18</f>
        <v>0.15922709367799201</v>
      </c>
      <c r="AX21" s="25">
        <v>170.19927830709864</v>
      </c>
      <c r="AY21" s="65">
        <f>+AX21/$AX$18</f>
        <v>0.13793235096295151</v>
      </c>
      <c r="AZ21" s="25">
        <v>184.82148179649371</v>
      </c>
      <c r="BA21" s="65">
        <f>+AZ21/$AZ$18</f>
        <v>0.13476291210823232</v>
      </c>
      <c r="BB21" s="66">
        <f t="shared" si="1"/>
        <v>8.5912253182481427E-2</v>
      </c>
      <c r="BC21" s="25">
        <v>168.86670457747701</v>
      </c>
      <c r="BD21" s="65">
        <f t="shared" si="53"/>
        <v>0.13349979896839226</v>
      </c>
      <c r="BE21" s="66">
        <f t="shared" si="2"/>
        <v>-8.6325339803218618E-2</v>
      </c>
      <c r="BF21" s="25">
        <v>176.07957684852724</v>
      </c>
      <c r="BG21" s="65">
        <f>+BF21/$AZ$18</f>
        <v>0.12838873657024744</v>
      </c>
      <c r="BH21" s="66">
        <f t="shared" si="33"/>
        <v>4.2713406938908571E-2</v>
      </c>
      <c r="BI21" s="25">
        <v>177.38252278963927</v>
      </c>
      <c r="BJ21" s="65">
        <f t="shared" si="54"/>
        <v>0.12011442906981318</v>
      </c>
      <c r="BK21" s="66">
        <f t="shared" si="34"/>
        <v>7.3997562035992967E-3</v>
      </c>
      <c r="BL21" s="25">
        <v>194.80632773186579</v>
      </c>
      <c r="BM21" s="65">
        <f t="shared" si="55"/>
        <v>0.11803962661062985</v>
      </c>
      <c r="BN21" s="66">
        <f t="shared" si="35"/>
        <v>9.8227292453663489E-2</v>
      </c>
      <c r="BO21" s="25">
        <v>239.95940342423248</v>
      </c>
      <c r="BP21" s="65">
        <f>+BO21/$BO$18</f>
        <v>0.14159399541846932</v>
      </c>
      <c r="BQ21" s="66">
        <f t="shared" si="36"/>
        <v>0.23178444056763917</v>
      </c>
      <c r="BR21" s="25">
        <v>237.89626592797782</v>
      </c>
      <c r="BS21" s="65">
        <f>+BR21/$BR$18</f>
        <v>0.14117510983161752</v>
      </c>
      <c r="BT21" s="66">
        <f t="shared" si="7"/>
        <v>-8.5978605831385693E-3</v>
      </c>
      <c r="BU21" s="25">
        <v>253.11614977468878</v>
      </c>
      <c r="BV21" s="65">
        <f>+BU21/$BU$18</f>
        <v>0.14853869267896166</v>
      </c>
      <c r="BW21" s="66">
        <f t="shared" si="37"/>
        <v>6.3976976634508076E-2</v>
      </c>
      <c r="BX21" s="25">
        <v>236.79096964887918</v>
      </c>
      <c r="BY21" s="65">
        <f>+BX21/$BX$18</f>
        <v>0.1448785522847181</v>
      </c>
      <c r="BZ21" s="66">
        <f t="shared" si="38"/>
        <v>-6.4496793825054022E-2</v>
      </c>
      <c r="CA21" s="84">
        <v>212.51997790097064</v>
      </c>
      <c r="CB21" s="65">
        <f>+CA21/$CA$18</f>
        <v>0.15571697307924814</v>
      </c>
      <c r="CC21" s="66">
        <f t="shared" si="39"/>
        <v>-0.10249965099555232</v>
      </c>
      <c r="CD21" s="84">
        <v>212.41635050672423</v>
      </c>
      <c r="CE21" s="68">
        <f>+CD21/$CD$18</f>
        <v>0.16343244734849718</v>
      </c>
      <c r="CF21" s="66">
        <f t="shared" si="40"/>
        <v>-4.8761248363532331E-4</v>
      </c>
      <c r="CG21" s="84">
        <v>238.94824714093014</v>
      </c>
      <c r="CH21" s="68">
        <f>+CG21/$CG$18</f>
        <v>0.17815973994992337</v>
      </c>
      <c r="CI21" s="66">
        <f t="shared" si="41"/>
        <v>0.12490515240899978</v>
      </c>
      <c r="CJ21" s="84">
        <v>265.25195117493547</v>
      </c>
      <c r="CK21" s="103">
        <f>+CJ21/$CJ$18</f>
        <v>0.17905084109237304</v>
      </c>
      <c r="CL21" s="66">
        <f t="shared" si="42"/>
        <v>0.11008117593970707</v>
      </c>
    </row>
    <row r="22" spans="1:90" x14ac:dyDescent="0.35">
      <c r="B22" s="1"/>
      <c r="C22" s="23"/>
      <c r="D22" s="69"/>
      <c r="E22" s="16"/>
      <c r="F22" s="69"/>
      <c r="G22" s="16"/>
      <c r="H22" s="69"/>
      <c r="I22" s="16"/>
      <c r="J22" s="16"/>
      <c r="K22" s="69"/>
      <c r="L22" s="16"/>
      <c r="M22" s="16"/>
      <c r="N22" s="69"/>
      <c r="O22" s="16"/>
      <c r="P22" s="16"/>
      <c r="Q22" s="69"/>
      <c r="R22" s="16"/>
      <c r="S22" s="16"/>
      <c r="T22" s="69"/>
      <c r="U22" s="16"/>
      <c r="V22" s="69"/>
      <c r="W22" s="16"/>
      <c r="X22" s="69"/>
      <c r="Y22" s="16"/>
      <c r="Z22" s="69"/>
      <c r="AA22" s="16"/>
      <c r="AB22" s="69"/>
      <c r="AC22" s="16"/>
      <c r="AD22" s="69"/>
      <c r="AE22" s="16"/>
      <c r="AF22" s="69"/>
      <c r="AG22" s="16"/>
      <c r="AH22" s="69"/>
      <c r="AI22" s="16"/>
      <c r="AJ22" s="26"/>
      <c r="AK22" s="2"/>
      <c r="AL22" s="26"/>
      <c r="AM22" s="64"/>
      <c r="AN22" s="26"/>
      <c r="AO22" s="64"/>
      <c r="AP22" s="26"/>
      <c r="AQ22" s="65"/>
      <c r="AR22" s="26"/>
      <c r="AS22" s="65"/>
      <c r="AT22" s="26"/>
      <c r="AU22" s="65"/>
      <c r="AV22" s="26"/>
      <c r="AW22" s="65"/>
      <c r="AX22" s="26"/>
      <c r="AY22" s="65"/>
      <c r="AZ22" s="26"/>
      <c r="BA22" s="65"/>
      <c r="BB22" s="66"/>
      <c r="BC22" s="26"/>
      <c r="BD22" s="65"/>
      <c r="BE22" s="66"/>
      <c r="BF22" s="26"/>
      <c r="BG22" s="65"/>
      <c r="BH22" s="66"/>
      <c r="BI22" s="26"/>
      <c r="BJ22" s="65"/>
      <c r="BK22" s="66"/>
      <c r="BL22" s="26"/>
      <c r="BM22" s="65"/>
      <c r="BN22" s="66"/>
      <c r="BO22" s="66"/>
      <c r="BP22" s="65"/>
      <c r="BQ22" s="66"/>
      <c r="BR22" s="26"/>
      <c r="BS22" s="65"/>
      <c r="BT22" s="66"/>
      <c r="BU22" s="26"/>
      <c r="BV22" s="65"/>
      <c r="BW22" s="66"/>
      <c r="BX22" s="26"/>
      <c r="BY22" s="65"/>
      <c r="BZ22" s="66"/>
      <c r="CA22" s="26"/>
      <c r="CB22" s="65"/>
      <c r="CC22" s="66"/>
      <c r="CD22" s="26"/>
      <c r="CE22" s="65"/>
      <c r="CF22" s="66"/>
      <c r="CG22" s="26"/>
      <c r="CH22" s="65"/>
      <c r="CI22" s="66"/>
      <c r="CJ22" s="26"/>
      <c r="CK22" s="65"/>
      <c r="CL22" s="66"/>
    </row>
    <row r="23" spans="1:90" x14ac:dyDescent="0.35">
      <c r="B23" s="1"/>
      <c r="C23" s="20" t="s">
        <v>4</v>
      </c>
      <c r="D23" s="27">
        <f>+D24+D25+D26</f>
        <v>6658.5611360897674</v>
      </c>
      <c r="E23" s="17">
        <v>0.6317044072097785</v>
      </c>
      <c r="F23" s="27">
        <f>+F24+F25+F26</f>
        <v>6142.3354771196764</v>
      </c>
      <c r="G23" s="17">
        <v>0.60761360597918501</v>
      </c>
      <c r="H23" s="27">
        <f>+H24+H25+H26</f>
        <v>6352.1184229403916</v>
      </c>
      <c r="I23" s="17">
        <v>0.60149243442536127</v>
      </c>
      <c r="J23" s="17">
        <f t="shared" si="32"/>
        <v>3.4153612514679625E-2</v>
      </c>
      <c r="K23" s="27">
        <f>+K24+K25+K26</f>
        <v>6535.0301739418383</v>
      </c>
      <c r="L23" s="17">
        <v>0.55812661581113165</v>
      </c>
      <c r="M23" s="17">
        <f>(+K23-H23)/H23</f>
        <v>2.879539372894388E-2</v>
      </c>
      <c r="N23" s="27">
        <f>+N24+N25+N26</f>
        <v>6800.3941361476091</v>
      </c>
      <c r="O23" s="17">
        <v>0.58079012098892091</v>
      </c>
      <c r="P23" s="17">
        <f>(+N23-H23)/H23</f>
        <v>7.0571057300866713E-2</v>
      </c>
      <c r="Q23" s="27">
        <f>+Q24+Q25+Q26</f>
        <v>7113.5998790513413</v>
      </c>
      <c r="R23" s="17">
        <v>0.60753957075221543</v>
      </c>
      <c r="S23" s="17">
        <f>(+Q23-K23)/K23</f>
        <v>8.8533593527467674E-2</v>
      </c>
      <c r="T23" s="27">
        <f>+T24+T25+T26</f>
        <v>7522.7981964811979</v>
      </c>
      <c r="U23" s="17">
        <f>+T23/$T$12</f>
        <v>0.64248730106467966</v>
      </c>
      <c r="V23" s="27">
        <f>+V24+V25+V26</f>
        <v>7546.1215028229872</v>
      </c>
      <c r="W23" s="17">
        <f>+V23/$V$12</f>
        <v>0.64468571587482737</v>
      </c>
      <c r="X23" s="27">
        <f>+X24+X25+X26</f>
        <v>7600.8928717387598</v>
      </c>
      <c r="Y23" s="17">
        <f>+V23/$X$12</f>
        <v>0.65797699700163192</v>
      </c>
      <c r="Z23" s="27">
        <f>+Z24+Z25+Z26</f>
        <v>7373.3868730092354</v>
      </c>
      <c r="AA23" s="17">
        <f>+Z23/$Z$12</f>
        <v>0.65745423819091153</v>
      </c>
      <c r="AB23" s="27">
        <f>+AB24+AB25+AB26</f>
        <v>7916.3539897777691</v>
      </c>
      <c r="AC23" s="17">
        <f>+AB23/$AV$12</f>
        <v>0.45664703352203279</v>
      </c>
      <c r="AD23" s="27">
        <f>+AD24+AD25+AD26</f>
        <v>8701.0066639177385</v>
      </c>
      <c r="AE23" s="16">
        <f>+AD23/$AD$38</f>
        <v>0.31405021867989424</v>
      </c>
      <c r="AF23" s="27">
        <f>+AF24+AF25+AF26</f>
        <v>9466.109303928326</v>
      </c>
      <c r="AG23" s="17">
        <f>+AF23/$AF$38</f>
        <v>0.33263835223942062</v>
      </c>
      <c r="AH23" s="27">
        <f>+AH24+AH25+AH26</f>
        <v>9967.8690721352687</v>
      </c>
      <c r="AI23" s="17">
        <f>+AH23/$AV$12</f>
        <v>0.57498664766687213</v>
      </c>
      <c r="AJ23" s="28">
        <f>+AJ24+AJ25+AJ26</f>
        <v>9888.3935302753962</v>
      </c>
      <c r="AK23" s="19">
        <f>+AJ23/$AJ$12</f>
        <v>0.69934162682757006</v>
      </c>
      <c r="AL23" s="28">
        <f>+AL24+AL25+AL26</f>
        <v>10193.893447853496</v>
      </c>
      <c r="AM23" s="67">
        <f>+AL23/$AL$12</f>
        <v>0.67272690186332551</v>
      </c>
      <c r="AN23" s="28">
        <f>+AN24+AN25+AN26</f>
        <v>10171.689171992131</v>
      </c>
      <c r="AO23" s="67">
        <f>+AN23/$AN$12</f>
        <v>0.64878234407085433</v>
      </c>
      <c r="AP23" s="28">
        <f>+AP24+AP25+AP26</f>
        <v>10046.413160249369</v>
      </c>
      <c r="AQ23" s="68">
        <f>+AP23/$AP$12</f>
        <v>0.64873484738416765</v>
      </c>
      <c r="AR23" s="28">
        <f>+AR24+AR25+AR26</f>
        <v>10264.195873581972</v>
      </c>
      <c r="AS23" s="68">
        <f>+AR23/$AR$12</f>
        <v>0.64584254400454233</v>
      </c>
      <c r="AT23" s="28">
        <f>+AT24+AT25+AT26</f>
        <v>10235.37460486061</v>
      </c>
      <c r="AU23" s="68">
        <f>+AT23/$AT$12</f>
        <v>0.59813122964779819</v>
      </c>
      <c r="AV23" s="28">
        <f>+AV24+AV25+AV26</f>
        <v>10322.191229771424</v>
      </c>
      <c r="AW23" s="68">
        <f>+AV23/$AV$12</f>
        <v>0.59542537013994568</v>
      </c>
      <c r="AX23" s="28">
        <f>+AX24+AX25+AX26</f>
        <v>10379.750372884195</v>
      </c>
      <c r="AY23" s="68">
        <f>+AX23/$AX$12</f>
        <v>0.6061500431278769</v>
      </c>
      <c r="AZ23" s="28">
        <f>+AZ24+AZ25+AZ26</f>
        <v>10602.88913835285</v>
      </c>
      <c r="BA23" s="68">
        <f>+AZ23/$AZ$12</f>
        <v>0.61548355015425738</v>
      </c>
      <c r="BB23" s="66">
        <f t="shared" si="1"/>
        <v>2.1497507883385836E-2</v>
      </c>
      <c r="BC23" s="28">
        <f>+BC24+BC25+BC26</f>
        <v>9914.9506736585572</v>
      </c>
      <c r="BD23" s="68">
        <f>+BC23/$BC$12</f>
        <v>0.61915783599164798</v>
      </c>
      <c r="BE23" s="66">
        <f t="shared" si="2"/>
        <v>-6.4882170860947372E-2</v>
      </c>
      <c r="BF23" s="28">
        <f>+BF24+BF25+BF26</f>
        <v>10277.572666122926</v>
      </c>
      <c r="BG23" s="68">
        <f>+BF23/$AZ$12</f>
        <v>0.59659936352936194</v>
      </c>
      <c r="BH23" s="66">
        <f t="shared" ref="BH23:BH26" si="56">(+BF23-BC23)/BC23</f>
        <v>3.6573252293403795E-2</v>
      </c>
      <c r="BI23" s="28">
        <f>+BI24+BI25+BI26</f>
        <v>10802.487469832913</v>
      </c>
      <c r="BJ23" s="68">
        <f>+BI23/$BI$12</f>
        <v>0.61270469895561464</v>
      </c>
      <c r="BK23" s="66">
        <f t="shared" ref="BK23:BK26" si="57">(+BI23-BF23)/BF23</f>
        <v>5.1073810982647579E-2</v>
      </c>
      <c r="BL23" s="28">
        <f>+BL24+BL25+BL26</f>
        <v>13896.648677998272</v>
      </c>
      <c r="BM23" s="68">
        <f>+BL23/$BL$12</f>
        <v>0.6415372943789962</v>
      </c>
      <c r="BN23" s="66">
        <f t="shared" ref="BN23:BN26" si="58">(+BL23-BI23)/BI23</f>
        <v>0.28643043713831007</v>
      </c>
      <c r="BO23" s="28">
        <f>+BO24+BO25+BO26</f>
        <v>2402.7067143447584</v>
      </c>
      <c r="BP23" s="68">
        <f>+BO23/$BO$12</f>
        <v>0.23736805824275559</v>
      </c>
      <c r="BQ23" s="66">
        <f t="shared" ref="BQ23:BQ26" si="59">(+BO23-BL23)/BL23</f>
        <v>-0.82710171567128843</v>
      </c>
      <c r="BR23" s="28">
        <f>+BR24+BR25+BR26</f>
        <v>2203.6307130974424</v>
      </c>
      <c r="BS23" s="68">
        <f>+BR23/$BR$12</f>
        <v>0.23155068213973623</v>
      </c>
      <c r="BT23" s="66">
        <f t="shared" si="7"/>
        <v>-8.285489030299982E-2</v>
      </c>
      <c r="BU23" s="28">
        <f>+BU24+BU25+BU26</f>
        <v>2322.1241991396992</v>
      </c>
      <c r="BV23" s="68">
        <f>+BU23/$BU$12</f>
        <v>0.24164782481091682</v>
      </c>
      <c r="BW23" s="66">
        <f t="shared" ref="BW23" si="60">(+BU23-BR23)/BR23</f>
        <v>5.3771934352694388E-2</v>
      </c>
      <c r="BX23" s="28">
        <f>+BX24+BX25+BX26</f>
        <v>2282.9907031507551</v>
      </c>
      <c r="BY23" s="68">
        <f>+BX23/$BX$12</f>
        <v>0.24920299866881632</v>
      </c>
      <c r="BZ23" s="66">
        <f t="shared" ref="BZ23" si="61">(+BX23-BU23)/BU23</f>
        <v>-1.6852456041516767E-2</v>
      </c>
      <c r="CA23" s="28">
        <f>+CA24+CA25+CA26</f>
        <v>2162.9168979673568</v>
      </c>
      <c r="CB23" s="68">
        <f>+CA23/$CA$12</f>
        <v>0.26129629995448395</v>
      </c>
      <c r="CC23" s="66">
        <f t="shared" ref="CC23" si="62">(+CA23-BX23)/BX23</f>
        <v>-5.2594960206226157E-2</v>
      </c>
      <c r="CD23" s="28">
        <f>+CD24+CD25+CD26</f>
        <v>2390.1366411640201</v>
      </c>
      <c r="CE23" s="68">
        <f>+CD23/$CD$12</f>
        <v>0.27658762989263957</v>
      </c>
      <c r="CF23" s="66">
        <f t="shared" ref="CF23" si="63">(+CD23-CA23)/CA23</f>
        <v>0.10505246105858135</v>
      </c>
      <c r="CG23" s="28">
        <f>+CG24+CG25+CG26</f>
        <v>2439.550531421798</v>
      </c>
      <c r="CH23" s="68">
        <f>+CG23/$CG$12</f>
        <v>0.27285483609754463</v>
      </c>
      <c r="CI23" s="66">
        <f t="shared" ref="CI23" si="64">(+CG23-CD23)/CD23</f>
        <v>2.0674085910717156E-2</v>
      </c>
      <c r="CJ23" s="28">
        <f>+CJ24+CJ25+CJ26</f>
        <v>2536.5690550013514</v>
      </c>
      <c r="CK23" s="103">
        <f>+CJ23/$CJ$12</f>
        <v>0.26912359448371292</v>
      </c>
      <c r="CL23" s="66">
        <f t="shared" ref="CL23" si="65">(+CJ23-CG23)/CG23</f>
        <v>3.9769015779726399E-2</v>
      </c>
    </row>
    <row r="24" spans="1:90" x14ac:dyDescent="0.35">
      <c r="B24" s="1"/>
      <c r="C24" s="23" t="s">
        <v>19</v>
      </c>
      <c r="D24" s="24">
        <v>158.14232359651336</v>
      </c>
      <c r="E24" s="16">
        <v>2.3750224765433672E-2</v>
      </c>
      <c r="F24" s="24">
        <v>164.13115893896915</v>
      </c>
      <c r="G24" s="16">
        <v>2.6721295108409666E-2</v>
      </c>
      <c r="H24" s="24">
        <v>170.91407233150812</v>
      </c>
      <c r="I24" s="16">
        <v>2.6906625624966245E-2</v>
      </c>
      <c r="J24" s="16">
        <f t="shared" si="32"/>
        <v>4.1326177408283239E-2</v>
      </c>
      <c r="K24" s="24">
        <v>175.43783841253924</v>
      </c>
      <c r="L24" s="16">
        <v>2.6845757975546974E-2</v>
      </c>
      <c r="M24" s="16">
        <f>(+K24-H24)/H24</f>
        <v>2.6468072636270299E-2</v>
      </c>
      <c r="N24" s="24">
        <v>181.04864411518031</v>
      </c>
      <c r="O24" s="16">
        <v>2.6623257489270101E-2</v>
      </c>
      <c r="P24" s="16">
        <f>(+N24-H24)/H24</f>
        <v>5.9296298107127082E-2</v>
      </c>
      <c r="Q24" s="24">
        <v>259.67140002454033</v>
      </c>
      <c r="R24" s="16">
        <v>3.6503515019060885E-2</v>
      </c>
      <c r="S24" s="16">
        <f>(+Q24-K24)/K24</f>
        <v>0.48013337586802252</v>
      </c>
      <c r="T24" s="24">
        <v>418.69303121746344</v>
      </c>
      <c r="U24" s="16">
        <f>+T24/$T$23</f>
        <v>5.5656554952292596E-2</v>
      </c>
      <c r="V24" s="24">
        <v>438.49997005724356</v>
      </c>
      <c r="W24" s="16">
        <f>+V24/$AV$23</f>
        <v>4.2481287189537344E-2</v>
      </c>
      <c r="X24" s="24">
        <v>411.32670837260275</v>
      </c>
      <c r="Y24" s="16">
        <f>+V24/$X$23</f>
        <v>5.7690586810879955E-2</v>
      </c>
      <c r="Z24" s="24">
        <v>336.89779789135389</v>
      </c>
      <c r="AA24" s="16">
        <f>+Z24/$Z$23</f>
        <v>4.5691051302975884E-2</v>
      </c>
      <c r="AB24" s="24">
        <v>411.32899060931061</v>
      </c>
      <c r="AC24" s="16">
        <f>+AB24/$AV$23</f>
        <v>3.9848999253467535E-2</v>
      </c>
      <c r="AD24" s="24">
        <v>279.01406671501593</v>
      </c>
      <c r="AE24" s="16">
        <f>+AD24/$AD$23</f>
        <v>3.2066871971499711E-2</v>
      </c>
      <c r="AF24" s="24">
        <v>340.08053066850448</v>
      </c>
      <c r="AG24" s="16">
        <f t="shared" ref="AG24:AG25" si="66">+AF24/$AF$23</f>
        <v>3.592611491686188E-2</v>
      </c>
      <c r="AH24" s="24">
        <v>273.58729360832092</v>
      </c>
      <c r="AI24" s="16">
        <f>+AH24/$AV$23</f>
        <v>2.6504768950534087E-2</v>
      </c>
      <c r="AJ24" s="25">
        <v>272.72381892995787</v>
      </c>
      <c r="AK24" s="2">
        <f>+AJ24/$AJ$23</f>
        <v>2.7580194709581143E-2</v>
      </c>
      <c r="AL24" s="25">
        <v>427.76760081543154</v>
      </c>
      <c r="AM24" s="64">
        <f>+AL24/$AL$23</f>
        <v>4.1963122628626802E-2</v>
      </c>
      <c r="AN24" s="25">
        <v>546.10794071489045</v>
      </c>
      <c r="AO24" s="64">
        <f>+AN24/$AN$23</f>
        <v>5.3689011872148557E-2</v>
      </c>
      <c r="AP24" s="25">
        <v>474.93231114386981</v>
      </c>
      <c r="AQ24" s="70">
        <f>+AP24/$AP$23</f>
        <v>4.7273818383563392E-2</v>
      </c>
      <c r="AR24" s="25">
        <v>662.30672546181825</v>
      </c>
      <c r="AS24" s="65">
        <f>+AR24/$AR$23</f>
        <v>6.4525924253498124E-2</v>
      </c>
      <c r="AT24" s="25">
        <v>741.86653658099203</v>
      </c>
      <c r="AU24" s="65">
        <f>+AT24/$AT$23</f>
        <v>7.2480643378571796E-2</v>
      </c>
      <c r="AV24" s="25">
        <v>910.39677202715006</v>
      </c>
      <c r="AW24" s="65">
        <f>+AV24/$AV$23</f>
        <v>8.8198014526350718E-2</v>
      </c>
      <c r="AX24" s="25">
        <v>756.58234251883766</v>
      </c>
      <c r="AY24" s="65">
        <f>+AX24/$AX$23</f>
        <v>7.2890225230783465E-2</v>
      </c>
      <c r="AZ24" s="25">
        <v>797.19917891113028</v>
      </c>
      <c r="BA24" s="65">
        <f>+AZ24/$AZ$23</f>
        <v>7.5186976729530772E-2</v>
      </c>
      <c r="BB24" s="66">
        <f t="shared" si="1"/>
        <v>5.3684621104253857E-2</v>
      </c>
      <c r="BC24" s="25">
        <v>670.91987906079976</v>
      </c>
      <c r="BD24" s="65">
        <f>+BC24/$BC$23</f>
        <v>6.7667495395943744E-2</v>
      </c>
      <c r="BE24" s="66">
        <f t="shared" si="2"/>
        <v>-0.15840370034350953</v>
      </c>
      <c r="BF24" s="25">
        <v>496.53909899690194</v>
      </c>
      <c r="BG24" s="65">
        <f>+BF24/$AZ$23</f>
        <v>4.6830547081815374E-2</v>
      </c>
      <c r="BH24" s="66">
        <f t="shared" si="56"/>
        <v>-0.25991297248191264</v>
      </c>
      <c r="BI24" s="25">
        <v>521.64947813726224</v>
      </c>
      <c r="BJ24" s="65">
        <f>+BI24/$BI$23</f>
        <v>4.8289755446976772E-2</v>
      </c>
      <c r="BK24" s="66">
        <f t="shared" si="57"/>
        <v>5.0570799341054441E-2</v>
      </c>
      <c r="BL24" s="25">
        <v>719.70584070528821</v>
      </c>
      <c r="BM24" s="65">
        <f>+BL24/$BL$23</f>
        <v>5.1789885272465384E-2</v>
      </c>
      <c r="BN24" s="66">
        <f t="shared" si="58"/>
        <v>0.37967326886870034</v>
      </c>
      <c r="BO24" s="25">
        <v>681.50505419227432</v>
      </c>
      <c r="BP24" s="65">
        <f>+BO24/$BO$23</f>
        <v>0.2836405501027317</v>
      </c>
      <c r="BQ24" s="66">
        <f t="shared" si="59"/>
        <v>-5.3078333330709632E-2</v>
      </c>
      <c r="BR24" s="25">
        <v>469.11026888137582</v>
      </c>
      <c r="BS24" s="65">
        <f>+BR24/$BR$23</f>
        <v>0.2128806183781993</v>
      </c>
      <c r="BT24" s="66">
        <f t="shared" si="7"/>
        <v>-0.31165548076914945</v>
      </c>
      <c r="BU24" s="25">
        <v>576.0028575036165</v>
      </c>
      <c r="BV24" s="65">
        <f>+BU24/$BU$23</f>
        <v>0.24804997842794718</v>
      </c>
      <c r="BW24" s="66">
        <f>(+BU24-BR24)/BR24</f>
        <v>0.22786239337103634</v>
      </c>
      <c r="BX24" s="25">
        <v>483.12378161522122</v>
      </c>
      <c r="BY24" s="65">
        <f>+BX24/$BX$23</f>
        <v>0.21161881252887371</v>
      </c>
      <c r="BZ24" s="66">
        <f>(+BX24-BU24)/BU24</f>
        <v>-0.16124759569931843</v>
      </c>
      <c r="CA24" s="84">
        <v>416.78413226113372</v>
      </c>
      <c r="CB24" s="65">
        <f>+CA24/$CA$23</f>
        <v>0.19269539789199239</v>
      </c>
      <c r="CC24" s="66">
        <f>(+CA24-BX24)/BX24</f>
        <v>-0.13731398014044152</v>
      </c>
      <c r="CD24" s="84">
        <v>551.89506747684061</v>
      </c>
      <c r="CE24" s="68">
        <f>+CD24/$CD$23</f>
        <v>0.2309052369525042</v>
      </c>
      <c r="CF24" s="66">
        <f>(+CD24-CA24)/CA24</f>
        <v>0.3241748539770557</v>
      </c>
      <c r="CG24" s="84">
        <v>556.58466887862824</v>
      </c>
      <c r="CH24" s="68">
        <f>+CG24/$CG$23</f>
        <v>0.22815049809779686</v>
      </c>
      <c r="CI24" s="66">
        <f>(+CG24-CD24)/CD24</f>
        <v>8.4972700032047641E-3</v>
      </c>
      <c r="CJ24" s="84">
        <v>587.70125398206551</v>
      </c>
      <c r="CK24" s="103">
        <f>+CJ24/$CJ$23</f>
        <v>0.23169140726655771</v>
      </c>
      <c r="CL24" s="66">
        <f>(+CJ24-CG24)/CG24</f>
        <v>5.5906292148019475E-2</v>
      </c>
    </row>
    <row r="25" spans="1:90" x14ac:dyDescent="0.35">
      <c r="B25" s="1"/>
      <c r="C25" s="23" t="s">
        <v>20</v>
      </c>
      <c r="D25" s="24">
        <v>4747.0703648233848</v>
      </c>
      <c r="E25" s="16">
        <v>0.7129273528922041</v>
      </c>
      <c r="F25" s="24">
        <v>4193.3018300795648</v>
      </c>
      <c r="G25" s="16">
        <v>0.68268850597622011</v>
      </c>
      <c r="H25" s="24">
        <v>4335.3504111912944</v>
      </c>
      <c r="I25" s="16">
        <v>0.68250465790032666</v>
      </c>
      <c r="J25" s="16">
        <f t="shared" si="32"/>
        <v>3.3875114854070583E-2</v>
      </c>
      <c r="K25" s="24">
        <v>4488.0326124869198</v>
      </c>
      <c r="L25" s="16">
        <v>0.6867654001633785</v>
      </c>
      <c r="M25" s="16">
        <f>(+K25-H25)/H25</f>
        <v>3.5217960906110575E-2</v>
      </c>
      <c r="N25" s="24">
        <v>4617.7645093653891</v>
      </c>
      <c r="O25" s="16">
        <v>0.67904365789911858</v>
      </c>
      <c r="P25" s="16">
        <f>(+N25-H25)/H25</f>
        <v>6.5142161852723521E-2</v>
      </c>
      <c r="Q25" s="24">
        <v>4789.3995442514324</v>
      </c>
      <c r="R25" s="16">
        <v>0.67327367657486792</v>
      </c>
      <c r="S25" s="16">
        <f>(+Q25-K25)/K25</f>
        <v>6.7149006655171886E-2</v>
      </c>
      <c r="T25" s="24">
        <v>5032.1095681790111</v>
      </c>
      <c r="U25" s="16">
        <f t="shared" ref="U25:U26" si="67">+T25/$T$23</f>
        <v>0.66891460288444127</v>
      </c>
      <c r="V25" s="24">
        <v>5035.6871435099092</v>
      </c>
      <c r="W25" s="16">
        <f>+V25/$AV$23</f>
        <v>0.48785059600386999</v>
      </c>
      <c r="X25" s="24">
        <v>5087.6486741962945</v>
      </c>
      <c r="Y25" s="16">
        <f t="shared" ref="Y25:Y26" si="68">+V25/$X$23</f>
        <v>0.66251257957250476</v>
      </c>
      <c r="Z25" s="24">
        <v>4865.3127690116626</v>
      </c>
      <c r="AA25" s="16">
        <f>+Z25/$Z$23</f>
        <v>0.6598477542011878</v>
      </c>
      <c r="AB25" s="24">
        <v>5392.3549021090957</v>
      </c>
      <c r="AC25" s="16">
        <f>+AB25/$AV$23</f>
        <v>0.52240408863540344</v>
      </c>
      <c r="AD25" s="24">
        <v>6229.9641240002675</v>
      </c>
      <c r="AE25" s="16">
        <f t="shared" ref="AE25:AE26" si="69">+AD25/$AD$23</f>
        <v>0.71600498248499755</v>
      </c>
      <c r="AF25" s="24">
        <v>6933.1201585113722</v>
      </c>
      <c r="AG25" s="16">
        <f t="shared" si="66"/>
        <v>0.73241496964694963</v>
      </c>
      <c r="AH25" s="24">
        <v>7556.9927371864769</v>
      </c>
      <c r="AI25" s="16">
        <f>+AH25/$AV$23</f>
        <v>0.73211129003214759</v>
      </c>
      <c r="AJ25" s="25">
        <v>7495.1183498871778</v>
      </c>
      <c r="AK25" s="2">
        <f t="shared" ref="AK25:AK26" si="70">+AJ25/$AJ$23</f>
        <v>0.75797128491491539</v>
      </c>
      <c r="AL25" s="25">
        <v>7689.2733016582724</v>
      </c>
      <c r="AM25" s="64">
        <f t="shared" ref="AM25:AM26" si="71">+AL25/$AL$23</f>
        <v>0.75430191035373095</v>
      </c>
      <c r="AN25" s="25">
        <v>7625.4653470086532</v>
      </c>
      <c r="AO25" s="64">
        <f>+AN25/$AN$23</f>
        <v>0.74967541949723193</v>
      </c>
      <c r="AP25" s="25">
        <v>7522.064204645174</v>
      </c>
      <c r="AQ25" s="70">
        <f>+AP25/$AP$23</f>
        <v>0.7487313217823568</v>
      </c>
      <c r="AR25" s="25">
        <v>7550.7098483171903</v>
      </c>
      <c r="AS25" s="65">
        <f t="shared" ref="AS25:AS26" si="72">+AR25/$AR$23</f>
        <v>0.73563579079304575</v>
      </c>
      <c r="AT25" s="25">
        <v>7477.2324819809273</v>
      </c>
      <c r="AU25" s="65">
        <f t="shared" ref="AU25:AU26" si="73">+AT25/$AT$23</f>
        <v>0.73052846335786414</v>
      </c>
      <c r="AV25" s="25">
        <v>7394.567592303435</v>
      </c>
      <c r="AW25" s="65">
        <f>+AV25/$AV$23</f>
        <v>0.71637576050479557</v>
      </c>
      <c r="AX25" s="25">
        <v>7700.7822328198426</v>
      </c>
      <c r="AY25" s="65">
        <f>+AX25/$AX$23</f>
        <v>0.74190437690459077</v>
      </c>
      <c r="AZ25" s="25">
        <v>8009.9984458396393</v>
      </c>
      <c r="BA25" s="65">
        <f>+AZ25/$AZ$23</f>
        <v>0.75545432394136924</v>
      </c>
      <c r="BB25" s="66">
        <f t="shared" si="1"/>
        <v>4.0153870564207488E-2</v>
      </c>
      <c r="BC25" s="25">
        <v>7634.901440338308</v>
      </c>
      <c r="BD25" s="65">
        <f t="shared" ref="BD25:BD26" si="74">+BC25/$BC$23</f>
        <v>0.77003927620358759</v>
      </c>
      <c r="BE25" s="66">
        <f t="shared" si="2"/>
        <v>-4.6828599036265128E-2</v>
      </c>
      <c r="BF25" s="25">
        <v>8132.2549570408974</v>
      </c>
      <c r="BG25" s="65">
        <f>+BF25/$AZ$23</f>
        <v>0.76698481432054622</v>
      </c>
      <c r="BH25" s="66">
        <f t="shared" si="56"/>
        <v>6.514210046967564E-2</v>
      </c>
      <c r="BI25" s="25">
        <v>8585.5340662194449</v>
      </c>
      <c r="BJ25" s="65">
        <f t="shared" ref="BJ25:BJ26" si="75">+BI25/$BI$23</f>
        <v>0.79477380466262559</v>
      </c>
      <c r="BK25" s="66">
        <f t="shared" si="57"/>
        <v>5.5738428218620836E-2</v>
      </c>
      <c r="BL25" s="25">
        <v>11311.146566543963</v>
      </c>
      <c r="BM25" s="65">
        <f t="shared" ref="BM25:BM26" si="76">+BL25/$BL$23</f>
        <v>0.8139477962375361</v>
      </c>
      <c r="BN25" s="66">
        <f t="shared" si="58"/>
        <v>0.31746569046283157</v>
      </c>
      <c r="BO25" s="25">
        <v>0</v>
      </c>
      <c r="BP25" s="65">
        <f>+BO25/$BO$23</f>
        <v>0</v>
      </c>
      <c r="BQ25" s="66">
        <f t="shared" si="59"/>
        <v>-1</v>
      </c>
      <c r="BR25" s="25">
        <v>0</v>
      </c>
      <c r="BS25" s="65">
        <f>+BR25/$BR$23</f>
        <v>0</v>
      </c>
      <c r="BT25" s="66"/>
      <c r="BU25" s="25">
        <v>0</v>
      </c>
      <c r="BV25" s="65">
        <f>+BU25/$BU$23</f>
        <v>0</v>
      </c>
      <c r="BW25" s="66"/>
      <c r="BX25" s="25">
        <v>0</v>
      </c>
      <c r="BY25" s="65">
        <f>+BX25/$BX$23</f>
        <v>0</v>
      </c>
      <c r="BZ25" s="66"/>
      <c r="CA25" s="84">
        <v>0</v>
      </c>
      <c r="CB25" s="65">
        <f>+CA25/$CA$23</f>
        <v>0</v>
      </c>
      <c r="CC25" s="66"/>
      <c r="CD25" s="84">
        <v>0</v>
      </c>
      <c r="CE25" s="68">
        <f>+CD25/$CD$23</f>
        <v>0</v>
      </c>
      <c r="CF25" s="66"/>
      <c r="CG25" s="84">
        <v>0</v>
      </c>
      <c r="CH25" s="68">
        <f>+CG25/$CG$23</f>
        <v>0</v>
      </c>
      <c r="CI25" s="66"/>
      <c r="CJ25" s="84">
        <v>0</v>
      </c>
      <c r="CK25" s="103">
        <f>+CJ25/$CJ$23</f>
        <v>0</v>
      </c>
      <c r="CL25" s="66"/>
    </row>
    <row r="26" spans="1:90" ht="16.2" x14ac:dyDescent="0.35">
      <c r="B26" s="1"/>
      <c r="C26" s="23" t="s">
        <v>67</v>
      </c>
      <c r="D26" s="24">
        <v>1753.3484476698695</v>
      </c>
      <c r="E26" s="16">
        <v>0.26332242234236231</v>
      </c>
      <c r="F26" s="24">
        <v>1784.9024881011428</v>
      </c>
      <c r="G26" s="16">
        <v>0.2905901989153703</v>
      </c>
      <c r="H26" s="24">
        <v>1845.8539394175898</v>
      </c>
      <c r="I26" s="16">
        <v>0.29058871647470724</v>
      </c>
      <c r="J26" s="16">
        <f t="shared" si="32"/>
        <v>3.4148336798661652E-2</v>
      </c>
      <c r="K26" s="24">
        <v>1871.5597230423789</v>
      </c>
      <c r="L26" s="16">
        <v>0.28638884186107444</v>
      </c>
      <c r="M26" s="16">
        <f>(+K26-H26)/H26</f>
        <v>1.3926228438692104E-2</v>
      </c>
      <c r="N26" s="24">
        <v>2001.5809826670393</v>
      </c>
      <c r="O26" s="16">
        <v>0.29433308461161128</v>
      </c>
      <c r="P26" s="16">
        <f>(+N26-H26)/H26</f>
        <v>8.4365853616015257E-2</v>
      </c>
      <c r="Q26" s="24">
        <v>2064.5289347753687</v>
      </c>
      <c r="R26" s="16">
        <v>0.29022280840607123</v>
      </c>
      <c r="S26" s="16">
        <f>(+Q26-K26)/K26</f>
        <v>0.10310609346695174</v>
      </c>
      <c r="T26" s="24">
        <v>2071.9955970847232</v>
      </c>
      <c r="U26" s="16">
        <f t="shared" si="67"/>
        <v>0.27542884216326613</v>
      </c>
      <c r="V26" s="24">
        <v>2071.9343892558345</v>
      </c>
      <c r="W26" s="16">
        <f>+V26/$AV$23</f>
        <v>0.20072621627856779</v>
      </c>
      <c r="X26" s="24">
        <v>2101.9174891698631</v>
      </c>
      <c r="Y26" s="16">
        <f t="shared" si="68"/>
        <v>0.27259092112185818</v>
      </c>
      <c r="Z26" s="24">
        <v>2171.1763061062193</v>
      </c>
      <c r="AA26" s="16">
        <f>+Z26/$Z$23</f>
        <v>0.29446119449583635</v>
      </c>
      <c r="AB26" s="24">
        <v>2112.6700970593629</v>
      </c>
      <c r="AC26" s="16">
        <f>+AB26/$AV$23</f>
        <v>0.20467263684923478</v>
      </c>
      <c r="AD26" s="24">
        <v>2192.0284732024538</v>
      </c>
      <c r="AE26" s="16">
        <f t="shared" si="69"/>
        <v>0.25192814554350257</v>
      </c>
      <c r="AF26" s="24">
        <v>2192.9086147484495</v>
      </c>
      <c r="AG26" s="16">
        <f>+AF26/$AF$23</f>
        <v>0.23165891543618852</v>
      </c>
      <c r="AH26" s="24">
        <v>2137.2890413404702</v>
      </c>
      <c r="AI26" s="16">
        <f>+AH26/$AV$23</f>
        <v>0.20705768705156982</v>
      </c>
      <c r="AJ26" s="25">
        <v>2120.5513614582615</v>
      </c>
      <c r="AK26" s="2">
        <f t="shared" si="70"/>
        <v>0.21444852037550363</v>
      </c>
      <c r="AL26" s="25">
        <v>2076.8525453797924</v>
      </c>
      <c r="AM26" s="64">
        <f t="shared" si="71"/>
        <v>0.20373496701764235</v>
      </c>
      <c r="AN26" s="25">
        <v>2000.1158842685868</v>
      </c>
      <c r="AO26" s="64">
        <f>+AN26/$AN$23</f>
        <v>0.19663556863061937</v>
      </c>
      <c r="AP26" s="25">
        <v>2049.4166444603243</v>
      </c>
      <c r="AQ26" s="70">
        <f>+AP26/$AP$23</f>
        <v>0.20399485983407975</v>
      </c>
      <c r="AR26" s="25">
        <v>2051.1792998029632</v>
      </c>
      <c r="AS26" s="65">
        <f t="shared" si="72"/>
        <v>0.19983828495345618</v>
      </c>
      <c r="AT26" s="25">
        <v>2016.2755862986901</v>
      </c>
      <c r="AU26" s="65">
        <f t="shared" si="73"/>
        <v>0.196990893263564</v>
      </c>
      <c r="AV26" s="25">
        <v>2017.2268654408397</v>
      </c>
      <c r="AW26" s="65">
        <f>+AV26/$AV$23</f>
        <v>0.19542622496885376</v>
      </c>
      <c r="AX26" s="25">
        <v>1922.3857975455142</v>
      </c>
      <c r="AY26" s="65">
        <f>+AX26/$AX$23</f>
        <v>0.1852053978646257</v>
      </c>
      <c r="AZ26" s="25">
        <v>1795.6915136020798</v>
      </c>
      <c r="BA26" s="65">
        <f>+AZ26/$AZ$23</f>
        <v>0.16935869932909994</v>
      </c>
      <c r="BB26" s="66">
        <f t="shared" si="1"/>
        <v>-6.5904712834019344E-2</v>
      </c>
      <c r="BC26" s="25">
        <v>1609.1293542594508</v>
      </c>
      <c r="BD26" s="65">
        <f t="shared" si="74"/>
        <v>0.16229322840046886</v>
      </c>
      <c r="BE26" s="66">
        <f t="shared" si="2"/>
        <v>-0.10389432590701136</v>
      </c>
      <c r="BF26" s="25">
        <v>1648.7786100851263</v>
      </c>
      <c r="BG26" s="65">
        <f>+BF26/$AZ$23</f>
        <v>0.15550276802585364</v>
      </c>
      <c r="BH26" s="66">
        <f t="shared" si="56"/>
        <v>2.4640191741404627E-2</v>
      </c>
      <c r="BI26" s="25">
        <v>1695.3039254762064</v>
      </c>
      <c r="BJ26" s="65">
        <f t="shared" si="75"/>
        <v>0.1569364398903976</v>
      </c>
      <c r="BK26" s="66">
        <f t="shared" si="57"/>
        <v>2.8218048867505618E-2</v>
      </c>
      <c r="BL26" s="25">
        <v>1865.7962707490201</v>
      </c>
      <c r="BM26" s="65">
        <f t="shared" si="76"/>
        <v>0.13426231848999848</v>
      </c>
      <c r="BN26" s="66">
        <f t="shared" si="58"/>
        <v>0.10056742198890556</v>
      </c>
      <c r="BO26" s="25">
        <v>1721.201660152484</v>
      </c>
      <c r="BP26" s="65">
        <f>+BO26/$BO$23</f>
        <v>0.7163594498972683</v>
      </c>
      <c r="BQ26" s="66">
        <f t="shared" si="59"/>
        <v>-7.7497534357536729E-2</v>
      </c>
      <c r="BR26" s="25">
        <v>1734.5204442160664</v>
      </c>
      <c r="BS26" s="65">
        <f>+BR26/$BR$23</f>
        <v>0.78711938162180062</v>
      </c>
      <c r="BT26" s="66">
        <f t="shared" si="7"/>
        <v>7.7380729823386517E-3</v>
      </c>
      <c r="BU26" s="25">
        <v>1746.1213416360827</v>
      </c>
      <c r="BV26" s="65">
        <f>+BU26/$BU$23</f>
        <v>0.75195002157205282</v>
      </c>
      <c r="BW26" s="66">
        <f t="shared" ref="BW26" si="77">(+BU26-BR26)/BR26</f>
        <v>6.6882448452542861E-3</v>
      </c>
      <c r="BX26" s="25">
        <v>1799.8669215355339</v>
      </c>
      <c r="BY26" s="65">
        <f>+BX26/$BX$23</f>
        <v>0.78838118747112629</v>
      </c>
      <c r="BZ26" s="66">
        <f t="shared" ref="BZ26" si="78">(+BX26-BU26)/BU26</f>
        <v>3.0779979957803329E-2</v>
      </c>
      <c r="CA26" s="84">
        <v>1746.1327657062229</v>
      </c>
      <c r="CB26" s="65">
        <f>+CA26/$CA$23</f>
        <v>0.80730460210800759</v>
      </c>
      <c r="CC26" s="66">
        <f t="shared" ref="CC26" si="79">(+CA26-BX26)/BX26</f>
        <v>-2.9854516012477409E-2</v>
      </c>
      <c r="CD26" s="84">
        <v>1838.2415736871794</v>
      </c>
      <c r="CE26" s="68">
        <f>+CD26/$CD$23</f>
        <v>0.76909476304749569</v>
      </c>
      <c r="CF26" s="66">
        <f t="shared" ref="CF26" si="80">(+CD26-CA26)/CA26</f>
        <v>5.2750174436880876E-2</v>
      </c>
      <c r="CG26" s="84">
        <v>1882.9658625431696</v>
      </c>
      <c r="CH26" s="68">
        <f>+CG26/$CG$23</f>
        <v>0.77184950190220303</v>
      </c>
      <c r="CI26" s="66">
        <f t="shared" ref="CI26" si="81">(+CG26-CD26)/CD26</f>
        <v>2.4329930024529548E-2</v>
      </c>
      <c r="CJ26" s="84">
        <v>1948.8678010192857</v>
      </c>
      <c r="CK26" s="103">
        <f>+CJ26/$CJ$23</f>
        <v>0.76830859273344221</v>
      </c>
      <c r="CL26" s="66">
        <f t="shared" ref="CL26" si="82">(+CJ26-CG26)/CG26</f>
        <v>3.4999008631578545E-2</v>
      </c>
    </row>
    <row r="27" spans="1:90" x14ac:dyDescent="0.35">
      <c r="B27" s="1"/>
      <c r="C27" s="1"/>
      <c r="D27" s="15"/>
      <c r="E27" s="16"/>
      <c r="F27" s="15"/>
      <c r="G27" s="16"/>
      <c r="H27" s="15"/>
      <c r="I27" s="16"/>
      <c r="J27" s="16"/>
      <c r="K27" s="15"/>
      <c r="L27" s="16"/>
      <c r="M27" s="16"/>
      <c r="N27" s="15"/>
      <c r="O27" s="16"/>
      <c r="P27" s="16"/>
      <c r="Q27" s="15"/>
      <c r="R27" s="16"/>
      <c r="S27" s="16"/>
      <c r="T27" s="15"/>
      <c r="U27" s="16"/>
      <c r="V27" s="15"/>
      <c r="W27" s="16"/>
      <c r="X27" s="15"/>
      <c r="Y27" s="16"/>
      <c r="Z27" s="15"/>
      <c r="AA27" s="16"/>
      <c r="AB27" s="15"/>
      <c r="AC27" s="16"/>
      <c r="AD27" s="15"/>
      <c r="AE27" s="16"/>
      <c r="AF27" s="15"/>
      <c r="AG27" s="16"/>
      <c r="AH27" s="15"/>
      <c r="AI27" s="16"/>
      <c r="AJ27" s="15"/>
      <c r="AK27" s="2"/>
      <c r="AL27" s="15"/>
      <c r="AM27" s="64"/>
      <c r="AN27" s="15"/>
      <c r="AO27" s="64"/>
      <c r="AP27" s="15"/>
      <c r="AQ27" s="65"/>
      <c r="AR27" s="15"/>
      <c r="AS27" s="65"/>
      <c r="AT27" s="15"/>
      <c r="AU27" s="65"/>
      <c r="AV27" s="15"/>
      <c r="AW27" s="65"/>
      <c r="AX27" s="15"/>
      <c r="AY27" s="65"/>
      <c r="AZ27" s="15"/>
      <c r="BA27" s="65"/>
      <c r="BB27" s="66"/>
      <c r="BC27" s="15"/>
      <c r="BD27" s="65"/>
      <c r="BE27" s="66"/>
      <c r="BF27" s="15"/>
      <c r="BG27" s="65"/>
      <c r="BH27" s="66"/>
      <c r="BI27" s="15"/>
      <c r="BJ27" s="65"/>
      <c r="BK27" s="66"/>
      <c r="BL27" s="15"/>
      <c r="BM27" s="65"/>
      <c r="BN27" s="66"/>
      <c r="BO27" s="66"/>
      <c r="BP27" s="65"/>
      <c r="BQ27" s="66"/>
      <c r="BR27" s="15"/>
      <c r="BS27" s="65"/>
      <c r="BT27" s="66"/>
      <c r="BU27" s="15"/>
      <c r="BV27" s="65"/>
      <c r="BW27" s="66"/>
      <c r="BX27" s="15"/>
      <c r="BY27" s="65"/>
      <c r="BZ27" s="66"/>
      <c r="CA27" s="84">
        <v>0</v>
      </c>
      <c r="CB27" s="65"/>
      <c r="CC27" s="66"/>
      <c r="CD27" s="84">
        <v>0</v>
      </c>
      <c r="CE27" s="68"/>
      <c r="CF27" s="66"/>
      <c r="CG27" s="84">
        <v>0</v>
      </c>
      <c r="CH27" s="68"/>
      <c r="CI27" s="66"/>
      <c r="CJ27" s="84">
        <v>0</v>
      </c>
      <c r="CK27" s="68"/>
      <c r="CL27" s="66"/>
    </row>
    <row r="28" spans="1:90" x14ac:dyDescent="0.35">
      <c r="B28" s="29" t="s">
        <v>5</v>
      </c>
      <c r="C28" s="1"/>
      <c r="D28" s="15">
        <v>2314.2050570588981</v>
      </c>
      <c r="E28" s="16">
        <v>0.12083585069707742</v>
      </c>
      <c r="F28" s="15">
        <v>2361.5530560822649</v>
      </c>
      <c r="G28" s="16">
        <v>0.12156320469465753</v>
      </c>
      <c r="H28" s="15">
        <v>2414.3671422810185</v>
      </c>
      <c r="I28" s="16">
        <v>0.11911443608623747</v>
      </c>
      <c r="J28" s="17">
        <f t="shared" si="32"/>
        <v>2.236413281621134E-2</v>
      </c>
      <c r="K28" s="15">
        <v>2519.586239908012</v>
      </c>
      <c r="L28" s="16">
        <v>0.12333958933273162</v>
      </c>
      <c r="M28" s="17">
        <f>(+K28-H28)/H28</f>
        <v>4.3580404895498123E-2</v>
      </c>
      <c r="N28" s="15">
        <v>2455.8230269779142</v>
      </c>
      <c r="O28" s="16">
        <v>0.11510598815294211</v>
      </c>
      <c r="P28" s="17">
        <f>(+N28-H28)/H28</f>
        <v>1.7170497382485713E-2</v>
      </c>
      <c r="Q28" s="15">
        <v>2517.8733084467281</v>
      </c>
      <c r="R28" s="16">
        <v>0.11316964185971469</v>
      </c>
      <c r="S28" s="17">
        <f>(+Q28-K28)/K28</f>
        <v>-6.7984633117636531E-4</v>
      </c>
      <c r="T28" s="15">
        <v>2493.5794697090023</v>
      </c>
      <c r="U28" s="16">
        <f>+T28/$T$38</f>
        <v>0.10491634121339211</v>
      </c>
      <c r="V28" s="15">
        <v>2510.5094802168824</v>
      </c>
      <c r="W28" s="17">
        <f>+V28/$V$12</f>
        <v>0.21447966360715079</v>
      </c>
      <c r="X28" s="15">
        <v>2548.7712800223462</v>
      </c>
      <c r="Y28" s="16">
        <f>+V28/$X$38</f>
        <v>0.10007730222247629</v>
      </c>
      <c r="Z28" s="15">
        <v>2634.706006825535</v>
      </c>
      <c r="AA28" s="16">
        <f>+Z28/$Z$38</f>
        <v>0.10833659619643581</v>
      </c>
      <c r="AB28" s="15">
        <v>2672.8808003553031</v>
      </c>
      <c r="AC28" s="16">
        <f>+AB28/$AV$38</f>
        <v>8.0833084665629357E-2</v>
      </c>
      <c r="AD28" s="15">
        <v>2696.623505144802</v>
      </c>
      <c r="AE28" s="16">
        <f>+AD28/$AD$38</f>
        <v>9.733071519183871E-2</v>
      </c>
      <c r="AF28" s="15">
        <v>2695.7250157663611</v>
      </c>
      <c r="AG28" s="16">
        <f>+AF28/$AF$38</f>
        <v>9.4727569537253045E-2</v>
      </c>
      <c r="AH28" s="15">
        <v>2648.2059418240042</v>
      </c>
      <c r="AI28" s="16">
        <f>+AH28/$AV$38</f>
        <v>8.0086869223284229E-2</v>
      </c>
      <c r="AJ28" s="15">
        <v>2626.0077966759818</v>
      </c>
      <c r="AK28" s="2">
        <f>+AJ28/$AJ$38</f>
        <v>8.9463775358645817E-2</v>
      </c>
      <c r="AL28" s="15">
        <v>2567.1466399873061</v>
      </c>
      <c r="AM28" s="64">
        <f>+AL28/$AL$38</f>
        <v>8.7746136671413746E-2</v>
      </c>
      <c r="AN28" s="15">
        <v>2508.5977395047257</v>
      </c>
      <c r="AO28" s="64">
        <f>+AN28/$AN$38</f>
        <v>8.3483008505164408E-2</v>
      </c>
      <c r="AP28" s="15">
        <v>2560.9984197531739</v>
      </c>
      <c r="AQ28" s="65">
        <f>+AP28/$AP$38</f>
        <v>8.5141436780360971E-2</v>
      </c>
      <c r="AR28" s="15">
        <v>2553.0768283074399</v>
      </c>
      <c r="AS28" s="70">
        <f>+AR28/$AR$38</f>
        <v>8.021301040181672E-2</v>
      </c>
      <c r="AT28" s="15">
        <v>2482.4486926484278</v>
      </c>
      <c r="AU28" s="65">
        <f>+AT28/$AT$38</f>
        <v>7.6758775515206351E-2</v>
      </c>
      <c r="AV28" s="15">
        <v>2440.3575037733181</v>
      </c>
      <c r="AW28" s="65">
        <f>+AV28/$AV$38</f>
        <v>7.3801130484640681E-2</v>
      </c>
      <c r="AX28" s="15">
        <v>2361.8833527479273</v>
      </c>
      <c r="AY28" s="65">
        <f>+AX28/$AX$38</f>
        <v>7.4068139418280124E-2</v>
      </c>
      <c r="AZ28" s="15">
        <v>2160.3044066094267</v>
      </c>
      <c r="BA28" s="65">
        <f>+AZ28/$AZ$38</f>
        <v>6.8514167125432124E-2</v>
      </c>
      <c r="BB28" s="66">
        <f t="shared" si="1"/>
        <v>-8.5346698389644912E-2</v>
      </c>
      <c r="BC28" s="15">
        <v>2059.7175177495956</v>
      </c>
      <c r="BD28" s="65">
        <f>+BC28/$BC$38</f>
        <v>6.7648874591212688E-2</v>
      </c>
      <c r="BE28" s="66">
        <f t="shared" si="2"/>
        <v>-4.6561442244938571E-2</v>
      </c>
      <c r="BF28" s="15">
        <v>2200.0351929193171</v>
      </c>
      <c r="BG28" s="65">
        <f>+BF28/$BF$38</f>
        <v>6.622528022268237E-2</v>
      </c>
      <c r="BH28" s="66">
        <f t="shared" ref="BH28" si="83">(+BF28-BC28)/BC28</f>
        <v>6.812471805504168E-2</v>
      </c>
      <c r="BI28" s="15">
        <v>2345.5506066664643</v>
      </c>
      <c r="BJ28" s="65">
        <f>+BI28/$BI$38</f>
        <v>6.6708368126943238E-2</v>
      </c>
      <c r="BK28" s="66">
        <f t="shared" ref="BK28" si="84">(+BI28-BF28)/BF28</f>
        <v>6.6142311820956312E-2</v>
      </c>
      <c r="BL28" s="15">
        <v>2549.9960766285003</v>
      </c>
      <c r="BM28" s="65">
        <f>+BL28/$BL$38</f>
        <v>6.5002347868134247E-2</v>
      </c>
      <c r="BN28" s="66">
        <f t="shared" ref="BN28" si="85">(+BL28-BI28)/BI28</f>
        <v>8.716310335874497E-2</v>
      </c>
      <c r="BO28" s="25">
        <v>2611.4813772227012</v>
      </c>
      <c r="BP28" s="65">
        <f>+BO28/$BO$38</f>
        <v>6.5813435745888341E-2</v>
      </c>
      <c r="BQ28" s="66">
        <f t="shared" ref="BQ28" si="86">(+BO28-BL28)/BL28</f>
        <v>2.4111919684007607E-2</v>
      </c>
      <c r="BR28" s="15">
        <v>2573.7832384847184</v>
      </c>
      <c r="BS28" s="65">
        <f>+BR28/$BR$38</f>
        <v>6.5436125215192167E-2</v>
      </c>
      <c r="BT28" s="66">
        <f t="shared" si="7"/>
        <v>-1.443553803093731E-2</v>
      </c>
      <c r="BU28" s="15">
        <v>2673.8315527749028</v>
      </c>
      <c r="BV28" s="65">
        <f>+BU28/$BU$38</f>
        <v>6.5979968909267939E-2</v>
      </c>
      <c r="BW28" s="66">
        <f t="shared" ref="BW28" si="87">(+BU28-BR28)/BR28</f>
        <v>3.887208246374569E-2</v>
      </c>
      <c r="BX28" s="15">
        <v>2797.4318290263618</v>
      </c>
      <c r="BY28" s="65">
        <f>+BX28/$BX$38</f>
        <v>6.7511235283976637E-2</v>
      </c>
      <c r="BZ28" s="66">
        <f t="shared" ref="BZ28" si="88">(+BX28-BU28)/BU28</f>
        <v>4.6225902347209066E-2</v>
      </c>
      <c r="CA28" s="84">
        <v>2731.1241090918516</v>
      </c>
      <c r="CB28" s="65">
        <f>+CA28/$CA$38</f>
        <v>6.8710091970240597E-2</v>
      </c>
      <c r="CC28" s="66">
        <f t="shared" ref="CC28" si="89">(+CA28-BX28)/BX28</f>
        <v>-2.3703069095910186E-2</v>
      </c>
      <c r="CD28" s="84">
        <v>2790.5738773553426</v>
      </c>
      <c r="CE28" s="68">
        <f>+CD28/$CD$38</f>
        <v>6.8287566708759517E-2</v>
      </c>
      <c r="CF28" s="66">
        <f t="shared" ref="CF28" si="90">(+CD28-CA28)/CA28</f>
        <v>2.1767508867716435E-2</v>
      </c>
      <c r="CG28" s="84">
        <v>2816.9844412644034</v>
      </c>
      <c r="CH28" s="68">
        <f>+CG28/$CG$38</f>
        <v>6.6926478847399259E-2</v>
      </c>
      <c r="CI28" s="66">
        <f t="shared" ref="CI28" si="91">(+CG28-CD28)/CD28</f>
        <v>9.4642052387053678E-3</v>
      </c>
      <c r="CJ28" s="84">
        <v>2914.5311921088382</v>
      </c>
      <c r="CK28" s="103">
        <f>+CJ28/$CJ$38</f>
        <v>6.7205267783011252E-2</v>
      </c>
      <c r="CL28" s="66">
        <f t="shared" ref="CL28" si="92">(+CJ28-CG28)/CG28</f>
        <v>3.4628075830142331E-2</v>
      </c>
    </row>
    <row r="29" spans="1:90" x14ac:dyDescent="0.35">
      <c r="B29" s="1"/>
      <c r="C29" s="1"/>
      <c r="D29" s="15"/>
      <c r="E29" s="16"/>
      <c r="F29" s="15"/>
      <c r="G29" s="16"/>
      <c r="H29" s="15"/>
      <c r="I29" s="16"/>
      <c r="J29" s="16"/>
      <c r="K29" s="15"/>
      <c r="L29" s="16"/>
      <c r="M29" s="16"/>
      <c r="N29" s="15"/>
      <c r="O29" s="16"/>
      <c r="P29" s="16"/>
      <c r="Q29" s="15"/>
      <c r="R29" s="16"/>
      <c r="S29" s="16"/>
      <c r="T29" s="15"/>
      <c r="U29" s="16"/>
      <c r="V29" s="15"/>
      <c r="W29" s="16"/>
      <c r="X29" s="15"/>
      <c r="Y29" s="16"/>
      <c r="Z29" s="15"/>
      <c r="AA29" s="16"/>
      <c r="AB29" s="15"/>
      <c r="AC29" s="16"/>
      <c r="AD29" s="15"/>
      <c r="AE29" s="16"/>
      <c r="AF29" s="15"/>
      <c r="AG29" s="16"/>
      <c r="AH29" s="15"/>
      <c r="AI29" s="16"/>
      <c r="AJ29" s="15"/>
      <c r="AK29" s="2"/>
      <c r="AL29" s="15"/>
      <c r="AM29" s="64"/>
      <c r="AN29" s="15"/>
      <c r="AO29" s="64"/>
      <c r="AP29" s="15"/>
      <c r="AQ29" s="65"/>
      <c r="AR29" s="15"/>
      <c r="AS29" s="70"/>
      <c r="AT29" s="15"/>
      <c r="AU29" s="65"/>
      <c r="AV29" s="15"/>
      <c r="AW29" s="65"/>
      <c r="AX29" s="15"/>
      <c r="AY29" s="65"/>
      <c r="AZ29" s="15"/>
      <c r="BA29" s="65"/>
      <c r="BB29" s="66"/>
      <c r="BC29" s="15"/>
      <c r="BD29" s="65"/>
      <c r="BE29" s="66"/>
      <c r="BF29" s="15"/>
      <c r="BG29" s="65"/>
      <c r="BH29" s="66"/>
      <c r="BI29" s="15"/>
      <c r="BJ29" s="65"/>
      <c r="BK29" s="66"/>
      <c r="BL29" s="15"/>
      <c r="BM29" s="65"/>
      <c r="BN29" s="66"/>
      <c r="BO29" s="66"/>
      <c r="BP29" s="65"/>
      <c r="BQ29" s="66"/>
      <c r="BR29" s="15"/>
      <c r="BS29" s="65"/>
      <c r="BT29" s="66"/>
      <c r="BU29" s="15"/>
      <c r="BV29" s="65"/>
      <c r="BW29" s="66"/>
      <c r="BX29" s="15"/>
      <c r="BY29" s="65"/>
      <c r="BZ29" s="66"/>
      <c r="CA29" s="84">
        <v>0</v>
      </c>
      <c r="CB29" s="65"/>
      <c r="CC29" s="66"/>
      <c r="CD29" s="84">
        <v>0</v>
      </c>
      <c r="CE29" s="68"/>
      <c r="CF29" s="66"/>
      <c r="CG29" s="84">
        <v>0</v>
      </c>
      <c r="CH29" s="68"/>
      <c r="CI29" s="66"/>
      <c r="CJ29" s="84">
        <v>0</v>
      </c>
      <c r="CK29" s="68"/>
      <c r="CL29" s="66"/>
    </row>
    <row r="30" spans="1:90" x14ac:dyDescent="0.35">
      <c r="B30" s="29" t="s">
        <v>6</v>
      </c>
      <c r="C30" s="1"/>
      <c r="D30" s="15">
        <v>3396.6755952576568</v>
      </c>
      <c r="E30" s="16">
        <v>0.17735687848534282</v>
      </c>
      <c r="F30" s="15">
        <v>3501.1086652425774</v>
      </c>
      <c r="G30" s="16">
        <v>0.18022292077451282</v>
      </c>
      <c r="H30" s="15">
        <v>3541.8631631888029</v>
      </c>
      <c r="I30" s="16">
        <v>0.17474021493651784</v>
      </c>
      <c r="J30" s="17">
        <f t="shared" si="32"/>
        <v>1.1640455022381245E-2</v>
      </c>
      <c r="K30" s="15">
        <v>3495.6277063062576</v>
      </c>
      <c r="L30" s="16">
        <v>0.17111908254097835</v>
      </c>
      <c r="M30" s="17">
        <f>(+K30-H30)/H30</f>
        <v>-1.3053992983997365E-2</v>
      </c>
      <c r="N30" s="15">
        <v>3612.8750130731351</v>
      </c>
      <c r="O30" s="16">
        <v>0.16933775108567578</v>
      </c>
      <c r="P30" s="17">
        <f>(+N30-H30)/H30</f>
        <v>2.004929231099908E-2</v>
      </c>
      <c r="Q30" s="15">
        <f>3370.52808171134+297.519625045557</f>
        <v>3668.0477067568968</v>
      </c>
      <c r="R30" s="16">
        <v>0.16486597792885277</v>
      </c>
      <c r="S30" s="17">
        <f>(+Q30-K30)/K30</f>
        <v>4.9324474725837189E-2</v>
      </c>
      <c r="T30" s="15">
        <f>3702.66011698166+299.525245543685</f>
        <v>4002.1853625253448</v>
      </c>
      <c r="U30" s="16">
        <f>+T30/$T$38</f>
        <v>0.16839032009794083</v>
      </c>
      <c r="V30" s="15">
        <f>4010.96171697203+298.95547493129</f>
        <v>4309.9171919033197</v>
      </c>
      <c r="W30" s="17">
        <f>+V30/$V$12</f>
        <v>0.36820796606362233</v>
      </c>
      <c r="X30" s="15">
        <f>3974.06917070261+299.905098459315</f>
        <v>4273.9742691619249</v>
      </c>
      <c r="Y30" s="16">
        <f>+V30/$X$38</f>
        <v>0.17180771025437147</v>
      </c>
      <c r="Z30" s="15">
        <f>3978.53643621203+260.21850475994</f>
        <v>4238.7549409719695</v>
      </c>
      <c r="AA30" s="16">
        <f>+Z30/$Z$38</f>
        <v>0.17429355731762122</v>
      </c>
      <c r="AB30" s="15">
        <f>4393.3672518929+172.901451552808</f>
        <v>4566.2687034457076</v>
      </c>
      <c r="AC30" s="16">
        <f>+AB30/$AV$38</f>
        <v>0.13809279660453833</v>
      </c>
      <c r="AD30" s="15">
        <f>4504.04633105019+177.556741370786</f>
        <v>4681.6030724209759</v>
      </c>
      <c r="AE30" s="16">
        <f>+AD30/$AD$38</f>
        <v>0.16897567436228922</v>
      </c>
      <c r="AF30" s="15">
        <f>4531.87774647399+118.815216782419</f>
        <v>4650.6929632564088</v>
      </c>
      <c r="AG30" s="16">
        <f>+AF30/$AF$38</f>
        <v>0.16342499271871852</v>
      </c>
      <c r="AH30" s="15">
        <f>4706.41867097908+153.339465170305</f>
        <v>4859.7581361493849</v>
      </c>
      <c r="AI30" s="16">
        <f>+AH30/$AV$38</f>
        <v>0.14696848464833373</v>
      </c>
      <c r="AJ30" s="15">
        <f>4660.72709104229+177.523995088367</f>
        <v>4838.2510861306573</v>
      </c>
      <c r="AK30" s="2">
        <f>+AJ30/$AJ$38</f>
        <v>0.16483127310064327</v>
      </c>
      <c r="AL30" s="15">
        <f>4463.51836760787+79.7165825204317</f>
        <v>4543.2349501283015</v>
      </c>
      <c r="AM30" s="64">
        <f>+AL30/$AL$38</f>
        <v>0.15528965453499483</v>
      </c>
      <c r="AN30" s="15">
        <f>4355.86815673096+107.754016398198</f>
        <v>4463.622173129158</v>
      </c>
      <c r="AO30" s="64">
        <f>+AN30/$AN$38</f>
        <v>0.1485437868236108</v>
      </c>
      <c r="AP30" s="15">
        <f>4575.123702572+122.09697025629</f>
        <v>4697.2206728282899</v>
      </c>
      <c r="AQ30" s="65">
        <f>+AP30/$AP$38</f>
        <v>0.15616101668565616</v>
      </c>
      <c r="AR30" s="15">
        <f>4624.19726403946+121.897967062042</f>
        <v>4746.0952311015017</v>
      </c>
      <c r="AS30" s="70">
        <f>+AR30/$AR$38</f>
        <v>0.14911364276990494</v>
      </c>
      <c r="AT30" s="15">
        <f>4758.18230671779+124.291037281183</f>
        <v>4882.4733439989732</v>
      </c>
      <c r="AU30" s="65">
        <f>+AT30/$AT$38</f>
        <v>0.1509689511331514</v>
      </c>
      <c r="AV30" s="15">
        <f>4732.05198529971+330.525167945393</f>
        <v>5062.5771532451035</v>
      </c>
      <c r="AW30" s="65">
        <f>+AV30/$AV$38</f>
        <v>0.15310212397056563</v>
      </c>
      <c r="AX30" s="15">
        <f>4848.26303257202+302.549991142204</f>
        <v>5150.8130237142241</v>
      </c>
      <c r="AY30" s="65">
        <f>+AX30/$AX$38</f>
        <v>0.16152835689962841</v>
      </c>
      <c r="AZ30" s="15">
        <f>4793.05700805497+250.1917303</f>
        <v>5043.2487383549696</v>
      </c>
      <c r="BA30" s="65">
        <f>+AZ30/$AZ$38</f>
        <v>0.15994689723245475</v>
      </c>
      <c r="BB30" s="66">
        <f t="shared" si="1"/>
        <v>-2.0882972234486274E-2</v>
      </c>
      <c r="BC30" s="15">
        <f>4506.6623023312+242.69526</f>
        <v>4749.3575623312008</v>
      </c>
      <c r="BD30" s="65">
        <f>+BC30/$BC$38</f>
        <v>0.15598677554289306</v>
      </c>
      <c r="BE30" s="66">
        <f t="shared" si="2"/>
        <v>-5.8274178267009612E-2</v>
      </c>
      <c r="BF30" s="15">
        <f>5333.40136192162+253.98</f>
        <v>5587.3813619216198</v>
      </c>
      <c r="BG30" s="65">
        <f>+BF30/$BF$38</f>
        <v>0.16819089876160087</v>
      </c>
      <c r="BH30" s="66">
        <f t="shared" ref="BH30" si="93">(+BF30-BC30)/BC30</f>
        <v>0.17644992793069023</v>
      </c>
      <c r="BI30" s="15">
        <f>5113.61975223373+268.37</f>
        <v>5381.9897522337296</v>
      </c>
      <c r="BJ30" s="65">
        <f>+BI30/$BI$38</f>
        <v>0.15306587401143062</v>
      </c>
      <c r="BK30" s="66">
        <f t="shared" ref="BK30" si="94">(+BI30-BF30)/BF30</f>
        <v>-3.6759905290812585E-2</v>
      </c>
      <c r="BL30" s="15">
        <f>5400.33439641692+277.672203648046</f>
        <v>5678.0066000649658</v>
      </c>
      <c r="BM30" s="65">
        <f>+BL30/$BL$38</f>
        <v>0.14473895218810395</v>
      </c>
      <c r="BN30" s="66">
        <f t="shared" ref="BN30" si="95">(+BL30-BI30)/BI30</f>
        <v>5.5001377085190095E-2</v>
      </c>
      <c r="BO30" s="15">
        <f>5504.1870098121+131.8737</f>
        <v>5636.0607098121</v>
      </c>
      <c r="BP30" s="65">
        <f>+BO30/$BO$38</f>
        <v>0.14203758932396651</v>
      </c>
      <c r="BQ30" s="66">
        <f t="shared" ref="BQ30" si="96">(+BO30-BL30)/BL30</f>
        <v>-7.3874324577900162E-3</v>
      </c>
      <c r="BR30" s="15">
        <f>5583.38735542835+130.1582437</f>
        <v>5713.5455991283497</v>
      </c>
      <c r="BS30" s="65">
        <f>+BR30/$BR$38</f>
        <v>0.14526176084175035</v>
      </c>
      <c r="BT30" s="66">
        <f t="shared" si="7"/>
        <v>1.3748057962071358E-2</v>
      </c>
      <c r="BU30" s="15">
        <f>5789.29434677643+181.79649202729</f>
        <v>5971.0908388037196</v>
      </c>
      <c r="BV30" s="65">
        <f>+BU30/$BU$38</f>
        <v>0.14734375749654813</v>
      </c>
      <c r="BW30" s="66">
        <f t="shared" ref="BW30" si="97">(+BU30-BR30)/BR30</f>
        <v>4.5076255226642561E-2</v>
      </c>
      <c r="BX30" s="15">
        <f>5681.27881143418+183.765787995195</f>
        <v>5865.044599429375</v>
      </c>
      <c r="BY30" s="65">
        <f>+BX30/$BX$38</f>
        <v>0.14154282574274724</v>
      </c>
      <c r="BZ30" s="66">
        <f t="shared" ref="BZ30" si="98">(+BX30-BU30)/BU30</f>
        <v>-1.7759944076749381E-2</v>
      </c>
      <c r="CA30" s="84">
        <f>5344.92317992901+176.986878539285</f>
        <v>5521.9100584682947</v>
      </c>
      <c r="CB30" s="65">
        <f>+CA30/$CA$38</f>
        <v>0.13892116682127426</v>
      </c>
      <c r="CC30" s="66">
        <f t="shared" ref="CC30" si="99">(+CA30-BX30)/BX30</f>
        <v>-5.8505018187664723E-2</v>
      </c>
      <c r="CD30" s="84">
        <f>5061.1818222572+89.9936760968773</f>
        <v>5151.1754983540777</v>
      </c>
      <c r="CE30" s="68">
        <f>+CD30/$CD$38</f>
        <v>0.12605336964085309</v>
      </c>
      <c r="CF30" s="66">
        <f t="shared" ref="CF30" si="100">(+CD30-CA30)/CA30</f>
        <v>-6.7138826273648838E-2</v>
      </c>
      <c r="CG30" s="84">
        <f>5154.12830959887+86.5730053923568</f>
        <v>5240.7013149912273</v>
      </c>
      <c r="CH30" s="68">
        <f>+CG30/$CG$38</f>
        <v>0.12450962829807731</v>
      </c>
      <c r="CI30" s="66">
        <f t="shared" ref="CI30" si="101">(+CG30-CD30)/CD30</f>
        <v>1.7379686765817852E-2</v>
      </c>
      <c r="CJ30" s="84">
        <f>5327.87215563923+85.1316871897133</f>
        <v>5413.0038428289436</v>
      </c>
      <c r="CK30" s="103">
        <f>+CJ30/$CJ$38</f>
        <v>0.12481677113380617</v>
      </c>
      <c r="CL30" s="66">
        <f t="shared" ref="CL30" si="102">(+CJ30-CG30)/CG30</f>
        <v>3.2877761482959983E-2</v>
      </c>
    </row>
    <row r="31" spans="1:90" x14ac:dyDescent="0.35">
      <c r="B31" s="1"/>
      <c r="C31" s="1"/>
      <c r="D31" s="15"/>
      <c r="E31" s="16"/>
      <c r="F31" s="15"/>
      <c r="G31" s="16"/>
      <c r="H31" s="15"/>
      <c r="I31" s="16"/>
      <c r="J31" s="16"/>
      <c r="K31" s="15"/>
      <c r="L31" s="16"/>
      <c r="M31" s="16"/>
      <c r="N31" s="15"/>
      <c r="O31" s="16"/>
      <c r="P31" s="16"/>
      <c r="Q31" s="15"/>
      <c r="R31" s="16"/>
      <c r="S31" s="16"/>
      <c r="T31" s="15"/>
      <c r="U31" s="16"/>
      <c r="V31" s="15"/>
      <c r="W31" s="16"/>
      <c r="X31" s="15"/>
      <c r="Y31" s="16"/>
      <c r="Z31" s="15"/>
      <c r="AA31" s="16"/>
      <c r="AB31" s="15"/>
      <c r="AC31" s="16"/>
      <c r="AD31" s="15"/>
      <c r="AE31" s="16"/>
      <c r="AF31" s="15"/>
      <c r="AG31" s="16"/>
      <c r="AH31" s="15"/>
      <c r="AI31" s="16"/>
      <c r="AJ31" s="15"/>
      <c r="AK31" s="2"/>
      <c r="AL31" s="15"/>
      <c r="AM31" s="64"/>
      <c r="AN31" s="15"/>
      <c r="AO31" s="64"/>
      <c r="AP31" s="15"/>
      <c r="AQ31" s="65"/>
      <c r="AR31" s="15"/>
      <c r="AS31" s="70"/>
      <c r="AT31" s="15"/>
      <c r="AU31" s="65"/>
      <c r="AV31" s="15"/>
      <c r="AW31" s="65"/>
      <c r="AX31" s="15"/>
      <c r="AY31" s="65"/>
      <c r="AZ31" s="15"/>
      <c r="BA31" s="65"/>
      <c r="BB31" s="66"/>
      <c r="BC31" s="15"/>
      <c r="BD31" s="65"/>
      <c r="BE31" s="66"/>
      <c r="BF31" s="15"/>
      <c r="BG31" s="65"/>
      <c r="BH31" s="66"/>
      <c r="BI31" s="15"/>
      <c r="BJ31" s="65"/>
      <c r="BK31" s="66"/>
      <c r="BL31" s="15"/>
      <c r="BM31" s="65"/>
      <c r="BN31" s="66"/>
      <c r="BO31" s="66"/>
      <c r="BP31" s="65"/>
      <c r="BQ31" s="66"/>
      <c r="BR31" s="15"/>
      <c r="BS31" s="65"/>
      <c r="BT31" s="66"/>
      <c r="BU31" s="15"/>
      <c r="BV31" s="65"/>
      <c r="BW31" s="66"/>
      <c r="BX31" s="15"/>
      <c r="BY31" s="65"/>
      <c r="BZ31" s="66"/>
      <c r="CA31" s="84">
        <v>0</v>
      </c>
      <c r="CB31" s="65"/>
      <c r="CC31" s="66"/>
      <c r="CD31" s="84">
        <v>0</v>
      </c>
      <c r="CE31" s="68"/>
      <c r="CF31" s="66"/>
      <c r="CG31" s="84">
        <v>0</v>
      </c>
      <c r="CH31" s="68"/>
      <c r="CI31" s="66"/>
      <c r="CJ31" s="84">
        <v>0</v>
      </c>
      <c r="CK31" s="68"/>
      <c r="CL31" s="66"/>
    </row>
    <row r="32" spans="1:90" ht="16.2" x14ac:dyDescent="0.35">
      <c r="B32" s="29" t="s">
        <v>68</v>
      </c>
      <c r="C32" s="1"/>
      <c r="D32" s="15">
        <v>1728.4062699178778</v>
      </c>
      <c r="E32" s="16">
        <v>9.0248459763163383E-2</v>
      </c>
      <c r="F32" s="15">
        <v>1870.4375987203509</v>
      </c>
      <c r="G32" s="16">
        <v>9.6282566295180047E-2</v>
      </c>
      <c r="H32" s="15">
        <v>1929.3028795324317</v>
      </c>
      <c r="I32" s="16">
        <v>9.5183462577255129E-2</v>
      </c>
      <c r="J32" s="17">
        <f t="shared" si="32"/>
        <v>3.1471395171030085E-2</v>
      </c>
      <c r="K32" s="15">
        <v>1903.6184478549005</v>
      </c>
      <c r="L32" s="16">
        <v>9.318653749006324E-2</v>
      </c>
      <c r="M32" s="17">
        <f>(+K32-H32)/H32</f>
        <v>-1.331280430357094E-2</v>
      </c>
      <c r="N32" s="15">
        <v>1928.0188426055352</v>
      </c>
      <c r="O32" s="16">
        <v>9.0367470138391914E-2</v>
      </c>
      <c r="P32" s="17">
        <f>(+N32-H32)/H32</f>
        <v>-6.6554450341551393E-4</v>
      </c>
      <c r="Q32" s="15">
        <v>1926.1188224158179</v>
      </c>
      <c r="R32" s="16">
        <v>8.6572337289886878E-2</v>
      </c>
      <c r="S32" s="17">
        <f>(+Q32-K32)/K32</f>
        <v>1.1819792241597593E-2</v>
      </c>
      <c r="T32" s="15">
        <v>2257.9013321686343</v>
      </c>
      <c r="U32" s="16">
        <f>+T32/$T$38</f>
        <v>9.5000279505678603E-2</v>
      </c>
      <c r="V32" s="15">
        <v>2253.9569660942316</v>
      </c>
      <c r="W32" s="17">
        <f>+V32/$V$12</f>
        <v>0.19256168346797947</v>
      </c>
      <c r="X32" s="15">
        <v>2608.9752183712835</v>
      </c>
      <c r="Y32" s="16">
        <f>+V32/$X$38</f>
        <v>8.9850261179966237E-2</v>
      </c>
      <c r="Z32" s="15">
        <v>2563.1768465701966</v>
      </c>
      <c r="AA32" s="16">
        <f>+Z32/$Z$38</f>
        <v>0.10539538540070474</v>
      </c>
      <c r="AB32" s="15">
        <v>2765.6883767752306</v>
      </c>
      <c r="AC32" s="16">
        <f>+AB32/$AV$38</f>
        <v>8.363976526334499E-2</v>
      </c>
      <c r="AD32" s="15">
        <v>2973.0193769485013</v>
      </c>
      <c r="AE32" s="16">
        <f>+AD32/$AD$38</f>
        <v>0.10730682339804573</v>
      </c>
      <c r="AF32" s="15">
        <v>3091.2434956655284</v>
      </c>
      <c r="AG32" s="16">
        <f>+AF32/$AF$38</f>
        <v>0.10862605847391699</v>
      </c>
      <c r="AH32" s="15">
        <v>2975.8766693320313</v>
      </c>
      <c r="AI32" s="16">
        <f>+AH32/$AV$38</f>
        <v>8.9996265727454519E-2</v>
      </c>
      <c r="AJ32" s="15">
        <v>2949.0509286094039</v>
      </c>
      <c r="AK32" s="2">
        <f>+AJ32/$AJ$38</f>
        <v>0.10046932462739806</v>
      </c>
      <c r="AL32" s="15">
        <v>3322.4099826022029</v>
      </c>
      <c r="AM32" s="64">
        <f>+AL32/$AL$38</f>
        <v>0.11356135090643819</v>
      </c>
      <c r="AN32" s="15">
        <v>3404.3220733399935</v>
      </c>
      <c r="AO32" s="64">
        <f>+AN32/$AN$38</f>
        <v>0.11329159877943286</v>
      </c>
      <c r="AP32" s="15">
        <v>3435.285953645694</v>
      </c>
      <c r="AQ32" s="65">
        <f>+AP32/$AP$38</f>
        <v>0.11420748235876549</v>
      </c>
      <c r="AR32" s="15">
        <v>3782.2709119895153</v>
      </c>
      <c r="AS32" s="70">
        <f>+AR32/$AR$38</f>
        <v>0.11883204322019333</v>
      </c>
      <c r="AT32" s="15">
        <v>3926.6623415251747</v>
      </c>
      <c r="AU32" s="65">
        <f>+AT32/$AT$38</f>
        <v>0.121414712050136</v>
      </c>
      <c r="AV32" s="15">
        <v>3914.569454569179</v>
      </c>
      <c r="AW32" s="65">
        <f>+AV32/$AV$38</f>
        <v>0.11838415095376296</v>
      </c>
      <c r="AX32" s="15">
        <v>3717.9831010265771</v>
      </c>
      <c r="AY32" s="65">
        <f>+AX32/$AX$38</f>
        <v>0.11659512751180155</v>
      </c>
      <c r="AZ32" s="15">
        <v>3853.0156888516117</v>
      </c>
      <c r="BA32" s="65">
        <f>+AZ32/$AZ$38</f>
        <v>0.12219859388113484</v>
      </c>
      <c r="BB32" s="66">
        <f t="shared" si="1"/>
        <v>3.63187739577812E-2</v>
      </c>
      <c r="BC32" s="15">
        <v>3784.9215071610861</v>
      </c>
      <c r="BD32" s="65">
        <f>+BC32/$BC$38</f>
        <v>0.12431106604136388</v>
      </c>
      <c r="BE32" s="66">
        <f t="shared" si="2"/>
        <v>-1.7672957285782821E-2</v>
      </c>
      <c r="BF32" s="15">
        <v>4207.3604442184878</v>
      </c>
      <c r="BG32" s="65">
        <f>+BF32/$BF$38</f>
        <v>0.12664962147558573</v>
      </c>
      <c r="BH32" s="66">
        <f t="shared" ref="BH32" si="103">(+BF32-BC32)/BC32</f>
        <v>0.11161101657145218</v>
      </c>
      <c r="BI32" s="15">
        <v>4340.2113198915731</v>
      </c>
      <c r="BJ32" s="65">
        <f>+BI32/$BI$38</f>
        <v>0.12343729171869623</v>
      </c>
      <c r="BK32" s="66">
        <f t="shared" ref="BK32" si="104">(+BI32-BF32)/BF32</f>
        <v>3.1575824661193769E-2</v>
      </c>
      <c r="BL32" s="15">
        <v>5019.7815326885211</v>
      </c>
      <c r="BM32" s="65">
        <f>+BL32/$BL$38</f>
        <v>0.12796003429200276</v>
      </c>
      <c r="BN32" s="66">
        <f t="shared" ref="BN32" si="105">(+BL32-BI32)/BI32</f>
        <v>0.15657537449442094</v>
      </c>
      <c r="BO32" s="15">
        <v>5213.6449062021311</v>
      </c>
      <c r="BP32" s="65">
        <f>+BO32/$BO$38</f>
        <v>0.13139204706913399</v>
      </c>
      <c r="BQ32" s="66">
        <f t="shared" ref="BQ32" si="106">(+BO32-BL32)/BL32</f>
        <v>3.861988260867194E-2</v>
      </c>
      <c r="BR32" s="15">
        <v>5210.8678636914119</v>
      </c>
      <c r="BS32" s="65">
        <f>+BR32/$BR$38</f>
        <v>0.13248163128495591</v>
      </c>
      <c r="BT32" s="66">
        <f t="shared" si="7"/>
        <v>-5.3264895494045358E-4</v>
      </c>
      <c r="BU32" s="15">
        <v>5161.844915557358</v>
      </c>
      <c r="BV32" s="65">
        <f>+BU32/$BU$38</f>
        <v>0.12737465330958675</v>
      </c>
      <c r="BW32" s="66">
        <f>(+BU32-BR32)/BR32</f>
        <v>-9.4078279120525833E-3</v>
      </c>
      <c r="BX32" s="15">
        <v>5501.6840994017057</v>
      </c>
      <c r="BY32" s="65">
        <f>+BX32/$BX$38</f>
        <v>0.13277374120036919</v>
      </c>
      <c r="BZ32" s="66">
        <f>(+BX32-BU32)/BU32</f>
        <v>6.5836767551869194E-2</v>
      </c>
      <c r="CA32" s="84">
        <v>5285.7034182771367</v>
      </c>
      <c r="CB32" s="65">
        <f>+CA32/$CA$38</f>
        <v>0.13297863937717627</v>
      </c>
      <c r="CC32" s="66">
        <f>(+CA32-BX32)/BX32</f>
        <v>-3.925719420132761E-2</v>
      </c>
      <c r="CD32" s="84">
        <v>5578.3863203730098</v>
      </c>
      <c r="CE32" s="68">
        <f>+CD32/$CD$38</f>
        <v>0.13650755891856883</v>
      </c>
      <c r="CF32" s="66">
        <f>(+CD32-CA32)/CA32</f>
        <v>5.5372554783119553E-2</v>
      </c>
      <c r="CG32" s="84">
        <v>5599.359369340802</v>
      </c>
      <c r="CH32" s="68">
        <f>+CG32/$CG$38</f>
        <v>0.13303069796969472</v>
      </c>
      <c r="CI32" s="66">
        <f>(+CG32-CD32)/CD32</f>
        <v>3.7596981928619518E-3</v>
      </c>
      <c r="CJ32" s="84">
        <v>7343.2662977100299</v>
      </c>
      <c r="CK32" s="103">
        <f>+CJ32/$CJ$38</f>
        <v>0.16932609240063848</v>
      </c>
      <c r="CL32" s="66">
        <f>(+CJ32-CG32)/CG32</f>
        <v>0.31144758057822847</v>
      </c>
    </row>
    <row r="33" spans="2:90" x14ac:dyDescent="0.35">
      <c r="B33" s="1"/>
      <c r="C33" s="1"/>
      <c r="D33" s="15"/>
      <c r="E33" s="16"/>
      <c r="F33" s="15"/>
      <c r="G33" s="16"/>
      <c r="H33" s="15"/>
      <c r="I33" s="16"/>
      <c r="J33" s="16"/>
      <c r="K33" s="15"/>
      <c r="L33" s="16"/>
      <c r="M33" s="16"/>
      <c r="N33" s="15"/>
      <c r="O33" s="16"/>
      <c r="P33" s="16"/>
      <c r="Q33" s="15"/>
      <c r="R33" s="16"/>
      <c r="S33" s="16"/>
      <c r="T33" s="15"/>
      <c r="U33" s="16"/>
      <c r="V33" s="15"/>
      <c r="W33" s="16"/>
      <c r="X33" s="15"/>
      <c r="Y33" s="16"/>
      <c r="Z33" s="15"/>
      <c r="AA33" s="16"/>
      <c r="AB33" s="15"/>
      <c r="AC33" s="16"/>
      <c r="AD33" s="15"/>
      <c r="AE33" s="16"/>
      <c r="AF33" s="15"/>
      <c r="AG33" s="16"/>
      <c r="AH33" s="15"/>
      <c r="AI33" s="16"/>
      <c r="AJ33" s="15"/>
      <c r="AK33" s="2"/>
      <c r="AL33" s="15"/>
      <c r="AM33" s="64"/>
      <c r="AN33" s="15"/>
      <c r="AO33" s="64"/>
      <c r="AP33" s="15"/>
      <c r="AQ33" s="65"/>
      <c r="AR33" s="15"/>
      <c r="AS33" s="70"/>
      <c r="AT33" s="15"/>
      <c r="AU33" s="65"/>
      <c r="AV33" s="15"/>
      <c r="AW33" s="65"/>
      <c r="AX33" s="15"/>
      <c r="AY33" s="65"/>
      <c r="AZ33" s="15"/>
      <c r="BA33" s="65"/>
      <c r="BB33" s="66"/>
      <c r="BC33" s="15"/>
      <c r="BD33" s="65"/>
      <c r="BE33" s="66"/>
      <c r="BF33" s="15"/>
      <c r="BG33" s="65"/>
      <c r="BH33" s="66"/>
      <c r="BI33" s="15"/>
      <c r="BJ33" s="65"/>
      <c r="BK33" s="66"/>
      <c r="BL33" s="15"/>
      <c r="BM33" s="65"/>
      <c r="BN33" s="66"/>
      <c r="BO33" s="66"/>
      <c r="BP33" s="65"/>
      <c r="BQ33" s="66"/>
      <c r="BR33" s="15"/>
      <c r="BS33" s="65"/>
      <c r="BT33" s="66"/>
      <c r="BU33" s="15"/>
      <c r="BV33" s="65"/>
      <c r="BW33" s="66"/>
      <c r="BX33" s="15"/>
      <c r="BY33" s="65"/>
      <c r="BZ33" s="66"/>
      <c r="CA33" s="84">
        <v>0</v>
      </c>
      <c r="CB33" s="65"/>
      <c r="CC33" s="66"/>
      <c r="CD33" s="84">
        <v>0</v>
      </c>
      <c r="CE33" s="68"/>
      <c r="CF33" s="66"/>
      <c r="CG33" s="84">
        <v>0</v>
      </c>
      <c r="CH33" s="68"/>
      <c r="CI33" s="66"/>
      <c r="CJ33" s="84">
        <v>0</v>
      </c>
      <c r="CK33" s="68"/>
      <c r="CL33" s="66"/>
    </row>
    <row r="34" spans="2:90" x14ac:dyDescent="0.35">
      <c r="B34" s="29" t="s">
        <v>23</v>
      </c>
      <c r="C34" s="1"/>
      <c r="D34" s="15">
        <v>871.72797789497338</v>
      </c>
      <c r="E34" s="16">
        <v>4.5517138364243641E-2</v>
      </c>
      <c r="F34" s="15">
        <v>1284.4957354952701</v>
      </c>
      <c r="G34" s="16">
        <v>6.6120647859789938E-2</v>
      </c>
      <c r="H34" s="15">
        <v>1523.1786846738285</v>
      </c>
      <c r="I34" s="16">
        <v>7.514705071412138E-2</v>
      </c>
      <c r="J34" s="17">
        <f t="shared" si="32"/>
        <v>0.18581840529546645</v>
      </c>
      <c r="K34" s="15">
        <v>1436.0216430394271</v>
      </c>
      <c r="L34" s="16">
        <v>7.0296589543156068E-2</v>
      </c>
      <c r="M34" s="17">
        <f>(+K34-H34)/H34</f>
        <v>-5.722049718222328E-2</v>
      </c>
      <c r="N34" s="15">
        <v>1870.3946693479554</v>
      </c>
      <c r="O34" s="16">
        <v>8.7666588465956277E-2</v>
      </c>
      <c r="P34" s="17">
        <f>(+N34-H34)/H34</f>
        <v>0.22795486056087985</v>
      </c>
      <c r="Q34" s="15">
        <v>2109.122741825664</v>
      </c>
      <c r="R34" s="16">
        <v>9.4797726529710316E-2</v>
      </c>
      <c r="S34" s="17">
        <f>(+Q34-K34)/K34</f>
        <v>0.46872629117314518</v>
      </c>
      <c r="T34" s="15">
        <v>2375.8796025140937</v>
      </c>
      <c r="U34" s="16">
        <f>+T34/$T$38</f>
        <v>9.996416720915513E-2</v>
      </c>
      <c r="V34" s="15">
        <v>2579.9964454097435</v>
      </c>
      <c r="W34" s="17">
        <f>+V34/$V$12</f>
        <v>0.22041612432840613</v>
      </c>
      <c r="X34" s="15">
        <v>3087.7632196288373</v>
      </c>
      <c r="Y34" s="16">
        <f>+V34/$X$38</f>
        <v>0.10284728499725868</v>
      </c>
      <c r="Z34" s="15">
        <v>2290.761848663959</v>
      </c>
      <c r="AA34" s="16">
        <f>+Z34/$Z$38</f>
        <v>9.4193940704573514E-2</v>
      </c>
      <c r="AB34" s="15">
        <v>2986.1545673020205</v>
      </c>
      <c r="AC34" s="16">
        <f>+AB34/$AV$38</f>
        <v>9.0307089239181043E-2</v>
      </c>
      <c r="AD34" s="15">
        <v>2813.7067846720615</v>
      </c>
      <c r="AE34" s="16">
        <f>+AD34/$AD$38</f>
        <v>0.10155666639031059</v>
      </c>
      <c r="AF34" s="15">
        <v>2693.5724680234798</v>
      </c>
      <c r="AG34" s="16">
        <f>+AF34/$AF$38</f>
        <v>9.465192917527121E-2</v>
      </c>
      <c r="AH34" s="15">
        <v>2684.1277212812452</v>
      </c>
      <c r="AI34" s="16">
        <f>+AH34/$AV$38</f>
        <v>8.1173213305602177E-2</v>
      </c>
      <c r="AJ34" s="15">
        <v>3307.4886158414861</v>
      </c>
      <c r="AK34" s="2">
        <f>+AJ34/$AJ$38</f>
        <v>0.11268070829929516</v>
      </c>
      <c r="AL34" s="15">
        <v>2358.2747837853926</v>
      </c>
      <c r="AM34" s="64">
        <f>+AL34/$AL$38</f>
        <v>8.0606810013706481E-2</v>
      </c>
      <c r="AN34" s="15">
        <v>2766.3812922767984</v>
      </c>
      <c r="AO34" s="64">
        <f>+AN34/$AN$38</f>
        <v>9.2061724091829666E-2</v>
      </c>
      <c r="AP34" s="15">
        <v>2940.6839944325261</v>
      </c>
      <c r="AQ34" s="65">
        <f>+AP34/$AP$38</f>
        <v>9.7764238537533757E-2</v>
      </c>
      <c r="AR34" s="15">
        <v>4070.6546282300415</v>
      </c>
      <c r="AS34" s="70">
        <f>+AR34/$AR$38</f>
        <v>0.12789253281221682</v>
      </c>
      <c r="AT34" s="15">
        <v>3193.6386983296802</v>
      </c>
      <c r="AU34" s="65">
        <f>+AT34/$AT$38</f>
        <v>9.8749189317678773E-2</v>
      </c>
      <c r="AV34" s="15">
        <v>3641.9955229063098</v>
      </c>
      <c r="AW34" s="65">
        <f>+AV34/$AV$38</f>
        <v>0.11014098811132743</v>
      </c>
      <c r="AX34" s="15">
        <v>3060.6502793741652</v>
      </c>
      <c r="AY34" s="65">
        <f>+AX34/$AX$38</f>
        <v>9.5981315647757956E-2</v>
      </c>
      <c r="AZ34" s="15">
        <v>2766.1967745777933</v>
      </c>
      <c r="BA34" s="65">
        <f>+AZ34/$AZ$38</f>
        <v>8.7730075231716761E-2</v>
      </c>
      <c r="BB34" s="66">
        <f t="shared" si="1"/>
        <v>-9.620619081529988E-2</v>
      </c>
      <c r="BC34" s="15">
        <v>3396.2212624269973</v>
      </c>
      <c r="BD34" s="65">
        <f>+BC34/$BC$38</f>
        <v>0.11154468721368872</v>
      </c>
      <c r="BE34" s="66">
        <f t="shared" si="2"/>
        <v>0.22775837700315629</v>
      </c>
      <c r="BF34" s="15">
        <v>3954.0620523585735</v>
      </c>
      <c r="BG34" s="65">
        <f>+BF34/$BF$38</f>
        <v>0.11902485391056394</v>
      </c>
      <c r="BH34" s="66">
        <f t="shared" ref="BH34" si="107">(+BF34-BC34)/BC34</f>
        <v>0.16425337068084123</v>
      </c>
      <c r="BI34" s="15">
        <v>5063.4982798350075</v>
      </c>
      <c r="BJ34" s="65">
        <f>+BI34/$BI$38</f>
        <v>0.14400785312470102</v>
      </c>
      <c r="BK34" s="66">
        <f t="shared" ref="BK34" si="108">(+BI34-BF34)/BF34</f>
        <v>0.28058139017182648</v>
      </c>
      <c r="BL34" s="15">
        <v>3947.1147169130313</v>
      </c>
      <c r="BM34" s="65">
        <f>+BL34/$BL$38</f>
        <v>0.10061651712164266</v>
      </c>
      <c r="BN34" s="66">
        <f t="shared" ref="BN34" si="109">(+BL34-BI34)/BI34</f>
        <v>-0.22047673391494726</v>
      </c>
      <c r="BO34" s="15">
        <v>15752.856990147797</v>
      </c>
      <c r="BP34" s="65">
        <f>+BO34/$BO$38</f>
        <v>0.39699675838310539</v>
      </c>
      <c r="BQ34" s="66">
        <f t="shared" ref="BQ34" si="110">(+BO34-BL34)/BL34</f>
        <v>2.9909802779858974</v>
      </c>
      <c r="BR34" s="15">
        <v>16003.250775177803</v>
      </c>
      <c r="BS34" s="65">
        <f>+BR34/$BR$38</f>
        <v>0.40686826532881454</v>
      </c>
      <c r="BT34" s="66">
        <f t="shared" si="7"/>
        <v>1.589513478009788E-2</v>
      </c>
      <c r="BU34" s="15">
        <v>16837.106664952531</v>
      </c>
      <c r="BV34" s="65">
        <f>+BU34/$BU$38</f>
        <v>0.41547560208970213</v>
      </c>
      <c r="BW34" s="66">
        <f t="shared" ref="BW34" si="111">(+BU34-BR34)/BR34</f>
        <v>5.210540667575482E-2</v>
      </c>
      <c r="BX34" s="15">
        <v>17872.960319022532</v>
      </c>
      <c r="BY34" s="65">
        <f>+BX34/$BX$38</f>
        <v>0.4313333453915375</v>
      </c>
      <c r="BZ34" s="66">
        <f t="shared" ref="BZ34" si="112">(+BX34-BU34)/BU34</f>
        <v>6.1522069954346344E-2</v>
      </c>
      <c r="CA34" s="84">
        <v>17712.281376709045</v>
      </c>
      <c r="CB34" s="65">
        <f>+CA34/$CA$38</f>
        <v>0.44560863358243247</v>
      </c>
      <c r="CC34" s="66">
        <f t="shared" ref="CC34" si="113">(+CA34-BX34)/BX34</f>
        <v>-8.990057575547418E-3</v>
      </c>
      <c r="CD34" s="84">
        <v>18514.826840726197</v>
      </c>
      <c r="CE34" s="68">
        <f>+CD34/$CD$38</f>
        <v>0.4530725680645456</v>
      </c>
      <c r="CF34" s="66">
        <f t="shared" ref="CF34" si="114">(+CD34-CA34)/CA34</f>
        <v>4.53101126245921E-2</v>
      </c>
      <c r="CG34" s="15">
        <v>19309.514395124279</v>
      </c>
      <c r="CH34" s="68">
        <f>+CG34/$CG$38</f>
        <v>0.45875929869842652</v>
      </c>
      <c r="CI34" s="66">
        <f t="shared" ref="CI34" si="115">(+CG34-CD34)/CD34</f>
        <v>4.2921684401068513E-2</v>
      </c>
      <c r="CJ34" s="15">
        <v>18108.997376973537</v>
      </c>
      <c r="CK34" s="103">
        <f>+CJ34/$CJ$38</f>
        <v>0.41756973515893919</v>
      </c>
      <c r="CL34" s="66">
        <f t="shared" ref="CL34" si="116">(+CJ34-CG34)/CG34</f>
        <v>-6.2172304988357283E-2</v>
      </c>
    </row>
    <row r="35" spans="2:90" x14ac:dyDescent="0.35">
      <c r="B35" s="20"/>
      <c r="C35" s="1"/>
      <c r="D35" s="15"/>
      <c r="E35" s="16"/>
      <c r="F35" s="15"/>
      <c r="G35" s="16"/>
      <c r="H35" s="15"/>
      <c r="I35" s="16"/>
      <c r="J35" s="16"/>
      <c r="K35" s="15"/>
      <c r="L35" s="16"/>
      <c r="M35" s="16"/>
      <c r="N35" s="15"/>
      <c r="O35" s="16"/>
      <c r="P35" s="16"/>
      <c r="Q35" s="15"/>
      <c r="R35" s="16"/>
      <c r="S35" s="16"/>
      <c r="T35" s="15"/>
      <c r="U35" s="16"/>
      <c r="V35" s="15"/>
      <c r="W35" s="16"/>
      <c r="X35" s="15"/>
      <c r="Y35" s="16"/>
      <c r="Z35" s="15"/>
      <c r="AA35" s="16"/>
      <c r="AB35" s="15"/>
      <c r="AC35" s="16"/>
      <c r="AD35" s="15"/>
      <c r="AE35" s="16"/>
      <c r="AF35" s="15"/>
      <c r="AG35" s="16"/>
      <c r="AH35" s="15"/>
      <c r="AI35" s="16"/>
      <c r="AJ35" s="15"/>
      <c r="AK35" s="2"/>
      <c r="AL35" s="15"/>
      <c r="AM35" s="64"/>
      <c r="AN35" s="15"/>
      <c r="AO35" s="64"/>
      <c r="AP35" s="15"/>
      <c r="AQ35" s="65"/>
      <c r="AR35" s="15"/>
      <c r="AS35" s="70"/>
      <c r="AT35" s="15"/>
      <c r="AU35" s="65"/>
      <c r="AV35" s="15"/>
      <c r="AW35" s="65"/>
      <c r="AX35" s="15"/>
      <c r="AY35" s="65"/>
      <c r="AZ35" s="15"/>
      <c r="BA35" s="65"/>
      <c r="BB35" s="66"/>
      <c r="BC35" s="15"/>
      <c r="BD35" s="65"/>
      <c r="BE35" s="66"/>
      <c r="BF35" s="15"/>
      <c r="BG35" s="65"/>
      <c r="BH35" s="66"/>
      <c r="BI35" s="15"/>
      <c r="BJ35" s="65"/>
      <c r="BK35" s="66"/>
      <c r="BL35" s="15"/>
      <c r="BM35" s="65"/>
      <c r="BN35" s="66"/>
      <c r="BO35" s="66"/>
      <c r="BP35" s="65"/>
      <c r="BQ35" s="66"/>
      <c r="BR35" s="15"/>
      <c r="BS35" s="65"/>
      <c r="BT35" s="66"/>
      <c r="BU35" s="15"/>
      <c r="BV35" s="65"/>
      <c r="BW35" s="66"/>
      <c r="BX35" s="15"/>
      <c r="BY35" s="65"/>
      <c r="BZ35" s="66"/>
      <c r="CA35" s="84">
        <v>0</v>
      </c>
      <c r="CB35" s="65"/>
      <c r="CC35" s="66"/>
      <c r="CD35" s="84">
        <v>0</v>
      </c>
      <c r="CE35" s="68"/>
      <c r="CF35" s="66"/>
      <c r="CG35" s="84">
        <v>0</v>
      </c>
      <c r="CH35" s="68"/>
      <c r="CI35" s="66"/>
      <c r="CJ35" s="84">
        <v>0</v>
      </c>
      <c r="CK35" s="68"/>
      <c r="CL35" s="66"/>
    </row>
    <row r="36" spans="2:90" x14ac:dyDescent="0.35">
      <c r="B36" s="100" t="s">
        <v>7</v>
      </c>
      <c r="C36" s="100"/>
      <c r="D36" s="15">
        <v>300</v>
      </c>
      <c r="E36" s="16">
        <v>1.5664452507589788E-2</v>
      </c>
      <c r="F36" s="15">
        <v>300</v>
      </c>
      <c r="G36" s="16">
        <v>1.5442787243111112E-2</v>
      </c>
      <c r="H36" s="15">
        <v>300</v>
      </c>
      <c r="I36" s="16">
        <v>1.4800702925450918E-2</v>
      </c>
      <c r="J36" s="17">
        <f t="shared" si="32"/>
        <v>0</v>
      </c>
      <c r="K36" s="15">
        <v>300</v>
      </c>
      <c r="L36" s="16">
        <v>1.4685695696278447E-2</v>
      </c>
      <c r="M36" s="17">
        <f>(+K36-H36)/H36</f>
        <v>0</v>
      </c>
      <c r="N36" s="15">
        <v>300</v>
      </c>
      <c r="O36" s="16">
        <v>1.4061190919109819E-2</v>
      </c>
      <c r="P36" s="17">
        <f>(+N36-H36)/H36</f>
        <v>0</v>
      </c>
      <c r="Q36" s="15">
        <v>626.79999999999995</v>
      </c>
      <c r="R36" s="16">
        <v>2.8172478448261835E-2</v>
      </c>
      <c r="S36" s="17">
        <f>(+Q36-K36)/K36</f>
        <v>1.0893333333333333</v>
      </c>
      <c r="T36" s="15">
        <v>928.9</v>
      </c>
      <c r="U36" s="16">
        <f>+T36/$T$38</f>
        <v>3.9083089405004212E-2</v>
      </c>
      <c r="V36" s="15">
        <v>965.55539999999996</v>
      </c>
      <c r="W36" s="17">
        <f>+V36/$V$12</f>
        <v>8.2490028027369683E-2</v>
      </c>
      <c r="X36" s="15">
        <v>1097.5483150684931</v>
      </c>
      <c r="Y36" s="16">
        <f>+V36/$X$38</f>
        <v>3.8490266752546229E-2</v>
      </c>
      <c r="Z36" s="15">
        <v>1377.173842687786</v>
      </c>
      <c r="AA36" s="16">
        <f>+Z36/$Z$38</f>
        <v>5.6628073910729916E-2</v>
      </c>
      <c r="AB36" s="15">
        <v>1706.9375953663703</v>
      </c>
      <c r="AC36" s="16">
        <f>+AB36/$AV$38</f>
        <v>5.1621094044618246E-2</v>
      </c>
      <c r="AD36" s="15">
        <v>1617.0416828470607</v>
      </c>
      <c r="AE36" s="16">
        <f>+AD36/$AD$38</f>
        <v>5.8364774758598525E-2</v>
      </c>
      <c r="AF36" s="15">
        <v>1601.3272784286698</v>
      </c>
      <c r="AG36" s="16">
        <f>+AF36/$AF$38</f>
        <v>5.6270517293889655E-2</v>
      </c>
      <c r="AH36" s="15">
        <v>1494.6717746586926</v>
      </c>
      <c r="AI36" s="16">
        <f>+AH36/$AV$38</f>
        <v>4.5201765111355603E-2</v>
      </c>
      <c r="AJ36" s="15">
        <v>1492.3759657529517</v>
      </c>
      <c r="AK36" s="2">
        <f>+AJ36/$AJ$38</f>
        <v>5.0842799598602322E-2</v>
      </c>
      <c r="AL36" s="15">
        <v>1312.3608627128515</v>
      </c>
      <c r="AM36" s="64">
        <f>+AL36/$AL$38</f>
        <v>4.4857038483156426E-2</v>
      </c>
      <c r="AN36" s="15">
        <v>1228.1555000431019</v>
      </c>
      <c r="AO36" s="64">
        <f>+AN36/$AN$38</f>
        <v>4.0871485468214334E-2</v>
      </c>
      <c r="AP36" s="15">
        <v>958.9909097060447</v>
      </c>
      <c r="AQ36" s="65">
        <f>+AP36/$AP$38</f>
        <v>3.1882043847394244E-2</v>
      </c>
      <c r="AR36" s="15">
        <v>783.89287690901972</v>
      </c>
      <c r="AS36" s="70">
        <f>+AR36/$AR$38</f>
        <v>2.4628482305054024E-2</v>
      </c>
      <c r="AT36" s="15">
        <v>743.43166874103213</v>
      </c>
      <c r="AU36" s="65">
        <f>+AT36/$AT$38</f>
        <v>2.2987345011714146E-2</v>
      </c>
      <c r="AV36" s="15">
        <v>671.34165458015264</v>
      </c>
      <c r="AW36" s="65">
        <f>+AV36/$AV$38</f>
        <v>2.0302669987014601E-2</v>
      </c>
      <c r="AX36" s="15">
        <v>472.58920405813336</v>
      </c>
      <c r="AY36" s="65">
        <f>+AX36/$AX$38</f>
        <v>1.4820292887464899E-2</v>
      </c>
      <c r="AZ36" s="15">
        <v>481.07853156419975</v>
      </c>
      <c r="BA36" s="65">
        <f>+AZ36/$AZ$38</f>
        <v>1.5257430763555443E-2</v>
      </c>
      <c r="BB36" s="66">
        <f t="shared" si="1"/>
        <v>1.7963439353181062E-2</v>
      </c>
      <c r="BC36" s="15">
        <v>443.35530849235124</v>
      </c>
      <c r="BD36" s="65">
        <f>+BC36/$BC$38</f>
        <v>1.4561456804191603E-2</v>
      </c>
      <c r="BE36" s="66">
        <f t="shared" si="2"/>
        <v>-7.8413856775511423E-2</v>
      </c>
      <c r="BF36" s="15">
        <v>419.10665047186302</v>
      </c>
      <c r="BG36" s="65">
        <f>+BF36/$BF$38</f>
        <v>1.2615914263561878E-2</v>
      </c>
      <c r="BH36" s="66">
        <f t="shared" ref="BH36" si="117">(+BF36-BC36)/BC36</f>
        <v>-5.4693510049415722E-2</v>
      </c>
      <c r="BI36" s="15">
        <v>399.1930261026705</v>
      </c>
      <c r="BJ36" s="65">
        <f>+BI36/$BI$38</f>
        <v>1.1353204344975408E-2</v>
      </c>
      <c r="BK36" s="66">
        <f t="shared" ref="BK36" si="118">(+BI36-BF36)/BF36</f>
        <v>-4.7514455680367287E-2</v>
      </c>
      <c r="BL36" s="15">
        <v>372.91074929598204</v>
      </c>
      <c r="BM36" s="65">
        <f>+BL36/$BL$38</f>
        <v>9.5059260959935478E-3</v>
      </c>
      <c r="BN36" s="66">
        <f t="shared" ref="BN36" si="119">(+BL36-BI36)/BI36</f>
        <v>-6.5838516928221041E-2</v>
      </c>
      <c r="BO36" s="15">
        <v>343.73731884057969</v>
      </c>
      <c r="BP36" s="65">
        <f>+BO36/$BO$38</f>
        <v>8.6627207623580262E-3</v>
      </c>
      <c r="BQ36" s="66">
        <f t="shared" ref="BQ36" si="120">(+BO36-BL36)/BL36</f>
        <v>-7.8231669402072351E-2</v>
      </c>
      <c r="BR36" s="15">
        <v>314.47027516158818</v>
      </c>
      <c r="BS36" s="65">
        <f>+BR36/$BR$38</f>
        <v>7.9951240626015135E-3</v>
      </c>
      <c r="BT36" s="66">
        <f t="shared" si="7"/>
        <v>-8.514363170606197E-2</v>
      </c>
      <c r="BU36" s="15">
        <v>271.48566508821506</v>
      </c>
      <c r="BV36" s="65">
        <f>+BU36/$BU$38</f>
        <v>6.6992311924970148E-3</v>
      </c>
      <c r="BW36" s="66">
        <f>(+BU36-BR36)/BR36</f>
        <v>-0.136688944770013</v>
      </c>
      <c r="BX36" s="15">
        <v>238.2479343384249</v>
      </c>
      <c r="BY36" s="65">
        <f>+BX36/$BX$38</f>
        <v>5.7497066359758096E-3</v>
      </c>
      <c r="BZ36" s="66">
        <f>(+BX36-BU36)/BU36</f>
        <v>-0.12242904515415233</v>
      </c>
      <c r="CA36" s="84">
        <v>219.85511836603408</v>
      </c>
      <c r="CB36" s="65">
        <f>+CA36/$CA$38</f>
        <v>5.5311530343018509E-3</v>
      </c>
      <c r="CC36" s="66">
        <f>(+CA36-BX36)/BX36</f>
        <v>-7.720031665107456E-2</v>
      </c>
      <c r="CD36" s="84">
        <v>188.55677634773227</v>
      </c>
      <c r="CE36" s="68">
        <f>+CD36/$CD$38</f>
        <v>4.6141345863372095E-3</v>
      </c>
      <c r="CF36" s="66">
        <f>(+CD36-CA36)/CA36</f>
        <v>-0.142358941883689</v>
      </c>
      <c r="CG36" s="84">
        <v>183.33513115555294</v>
      </c>
      <c r="CH36" s="68">
        <f>+CG36/$CG$38</f>
        <v>4.3557126541174315E-3</v>
      </c>
      <c r="CI36" s="66">
        <f>(+CG36-CD36)/CD36</f>
        <v>-2.7692694441008477E-2</v>
      </c>
      <c r="CJ36" s="84">
        <v>162.50739980139025</v>
      </c>
      <c r="CK36" s="103">
        <f>+CJ36/$CJ$38</f>
        <v>3.7472075611827806E-3</v>
      </c>
      <c r="CL36" s="66">
        <f>(+CJ36-CG36)/CG36</f>
        <v>-0.11360469334429499</v>
      </c>
    </row>
    <row r="37" spans="2:90" x14ac:dyDescent="0.35">
      <c r="B37" s="1"/>
      <c r="C37" s="1"/>
      <c r="D37" s="1"/>
      <c r="E37" s="32"/>
      <c r="F37" s="1"/>
      <c r="G37" s="32"/>
      <c r="H37" s="1"/>
      <c r="I37" s="32"/>
      <c r="J37" s="32"/>
      <c r="K37" s="1"/>
      <c r="L37" s="32"/>
      <c r="M37" s="32"/>
      <c r="N37" s="1"/>
      <c r="O37" s="32"/>
      <c r="P37" s="32"/>
      <c r="Q37" s="1"/>
      <c r="R37" s="32"/>
      <c r="S37" s="32"/>
      <c r="T37" s="1"/>
      <c r="U37" s="32"/>
      <c r="V37" s="1"/>
      <c r="W37" s="32"/>
      <c r="X37" s="1"/>
      <c r="Y37" s="32"/>
      <c r="Z37" s="1"/>
      <c r="AA37" s="32"/>
      <c r="AB37" s="1"/>
      <c r="AC37" s="32"/>
      <c r="AD37" s="1"/>
      <c r="AE37" s="32"/>
      <c r="AF37" s="1"/>
      <c r="AG37" s="32"/>
      <c r="AH37" s="1"/>
      <c r="AI37" s="32"/>
      <c r="AJ37" s="33"/>
      <c r="AK37" s="32"/>
      <c r="AL37" s="33"/>
      <c r="AM37" s="71"/>
      <c r="AN37" s="33"/>
      <c r="AO37" s="71"/>
      <c r="AP37" s="33"/>
      <c r="AQ37" s="72"/>
      <c r="AR37" s="33"/>
      <c r="AS37" s="72"/>
      <c r="AT37" s="33"/>
      <c r="AU37" s="72"/>
      <c r="AV37" s="33"/>
      <c r="AW37" s="72"/>
      <c r="AX37" s="33"/>
      <c r="AY37" s="72"/>
      <c r="AZ37" s="33"/>
      <c r="BA37" s="72"/>
      <c r="BB37" s="66"/>
      <c r="BC37" s="33"/>
      <c r="BD37" s="72"/>
      <c r="BE37" s="66"/>
      <c r="BF37" s="33"/>
      <c r="BG37" s="72"/>
      <c r="BH37" s="66"/>
      <c r="BI37" s="33"/>
      <c r="BJ37" s="72"/>
      <c r="BK37" s="66"/>
      <c r="BL37" s="33"/>
      <c r="BM37" s="72"/>
      <c r="BN37" s="66"/>
      <c r="BO37" s="66"/>
      <c r="BP37" s="72"/>
      <c r="BQ37" s="66"/>
      <c r="BR37" s="33"/>
      <c r="BS37" s="72"/>
      <c r="BT37" s="66"/>
      <c r="BU37" s="33"/>
      <c r="BV37" s="72"/>
      <c r="BW37" s="66"/>
      <c r="BX37" s="33"/>
      <c r="BY37" s="72"/>
      <c r="BZ37" s="66"/>
      <c r="CA37" s="33"/>
      <c r="CB37" s="72"/>
      <c r="CC37" s="66"/>
      <c r="CD37" s="33"/>
      <c r="CE37" s="72"/>
      <c r="CF37" s="66"/>
      <c r="CG37" s="33"/>
      <c r="CH37" s="72"/>
      <c r="CI37" s="66"/>
      <c r="CJ37" s="33"/>
      <c r="CK37" s="72"/>
      <c r="CL37" s="66"/>
    </row>
    <row r="38" spans="2:90" x14ac:dyDescent="0.35">
      <c r="B38" s="29" t="s">
        <v>8</v>
      </c>
      <c r="C38" s="1"/>
      <c r="D38" s="34">
        <f t="shared" ref="D38" si="121">+D12+D28+D30+D32+D34+D36</f>
        <v>19151.642858545045</v>
      </c>
      <c r="E38" s="35">
        <v>0.77616556716536067</v>
      </c>
      <c r="F38" s="34">
        <f t="shared" ref="F38" si="122">+F12+F28+F30+F32+F34+F36</f>
        <v>19426.54491557716</v>
      </c>
      <c r="G38" s="35">
        <v>0.77021413344918954</v>
      </c>
      <c r="H38" s="34">
        <f t="shared" ref="H38" si="123">+H12+H28+H30+H32+H34+H36</f>
        <v>20269.307580258741</v>
      </c>
      <c r="I38" s="35">
        <v>0.77807636475106556</v>
      </c>
      <c r="J38" s="17">
        <f t="shared" si="32"/>
        <v>4.3382015090383468E-2</v>
      </c>
      <c r="K38" s="34">
        <f t="shared" ref="K38" si="124">+K12+K28+K30+K32+K34+K36</f>
        <v>20428.041422377017</v>
      </c>
      <c r="L38" s="35">
        <v>0.7781913070973977</v>
      </c>
      <c r="M38" s="17">
        <f>(+K38-H38)/H38</f>
        <v>7.8312414713600943E-3</v>
      </c>
      <c r="N38" s="34">
        <f>+N12+N28+N30+N32+N34+N36</f>
        <v>21335.319442415501</v>
      </c>
      <c r="O38" s="35">
        <v>0.78489266430590032</v>
      </c>
      <c r="P38" s="17">
        <f>(+N38-H38)/H38</f>
        <v>5.2592416289296451E-2</v>
      </c>
      <c r="Q38" s="34">
        <f>+Q12+Q28+Q30+Q32+Q34+Q36</f>
        <v>22248.663750017771</v>
      </c>
      <c r="R38" s="35">
        <v>0.79000343518901173</v>
      </c>
      <c r="S38" s="17">
        <f>(+Q38-K38)/K38</f>
        <v>8.9123684938607589E-2</v>
      </c>
      <c r="T38" s="34">
        <f>+T12+T28+T30+T32+T34+T36</f>
        <v>23767.312516524431</v>
      </c>
      <c r="U38" s="35">
        <f>+T38/T56</f>
        <v>0.80066000963688977</v>
      </c>
      <c r="V38" s="34">
        <f>+V12+V28+V30+V32+V34+V36</f>
        <v>24325.052127294548</v>
      </c>
      <c r="W38" s="35">
        <f>+V38/V56</f>
        <v>0.80485252124724738</v>
      </c>
      <c r="X38" s="34">
        <f>+X12+X28+X30+X32+X34+X36</f>
        <v>25085.702996228938</v>
      </c>
      <c r="Y38" s="35">
        <f>+V38/V56</f>
        <v>0.80485252124724738</v>
      </c>
      <c r="Z38" s="34">
        <f>+Z12+Z28+Z30+Z32+Z34+Z36</f>
        <v>24319.630663384411</v>
      </c>
      <c r="AA38" s="35">
        <f>+X38/X56</f>
        <v>0.80982562133484071</v>
      </c>
      <c r="AB38" s="34">
        <f>+AB12+AB28+AB30+AB32+AB34+AB36</f>
        <v>26287.054981918147</v>
      </c>
      <c r="AC38" s="35">
        <f>+AB38/AB56</f>
        <v>0.81052956863148395</v>
      </c>
      <c r="AD38" s="34">
        <f>+AD12+AD28+AD30+AD32+AD34+AD36</f>
        <v>27705.781261647579</v>
      </c>
      <c r="AE38" s="35">
        <f>+AD38/AD56</f>
        <v>0.81846949478348652</v>
      </c>
      <c r="AF38" s="34">
        <f>+AF12+AF28+AF30+AF32+AF34+AF36</f>
        <v>28457.660519899928</v>
      </c>
      <c r="AG38" s="35">
        <f>+AF38/AF56</f>
        <v>0.82138204212926358</v>
      </c>
      <c r="AH38" s="34">
        <f>+AH12+AH28+AH30+AH32+AH34+AH36</f>
        <v>28910.672439342929</v>
      </c>
      <c r="AI38" s="35">
        <f>+AH38/AH56</f>
        <v>0.78150037966567909</v>
      </c>
      <c r="AJ38" s="36">
        <f>+AJ12+AJ28+AJ30+AJ32+AJ34+AJ36</f>
        <v>29352.749603386856</v>
      </c>
      <c r="AK38" s="37">
        <f>+AJ38/AJ56</f>
        <v>0.78454645147685853</v>
      </c>
      <c r="AL38" s="36">
        <f>+AL12+AL28+AL30+AL32+AL34+AL36</f>
        <v>29256.520427794978</v>
      </c>
      <c r="AM38" s="73">
        <f>+AL38/AL56</f>
        <v>0.76691540699933491</v>
      </c>
      <c r="AN38" s="36">
        <f>+AN12+AN28+AN30+AN32+AN34+AN36</f>
        <v>30049.201441387195</v>
      </c>
      <c r="AO38" s="73">
        <f>+AN38/AN56</f>
        <v>0.76334299166652919</v>
      </c>
      <c r="AP38" s="36">
        <f>+AP12+AP28+AP30+AP32+AP34+AP36</f>
        <v>30079.342287349125</v>
      </c>
      <c r="AQ38" s="74">
        <f>+AP38/AP56</f>
        <v>0.76273102416109073</v>
      </c>
      <c r="AR38" s="36">
        <f>+AR12+AR28+AR30+AR32+AR34+AR36</f>
        <v>31828.712268971467</v>
      </c>
      <c r="AS38" s="74">
        <f>+AR38/AR56</f>
        <v>0.7684810094398542</v>
      </c>
      <c r="AT38" s="36">
        <f>+AT12+AT28+AT30+AT32+AT34+AT36</f>
        <v>32340.910547180894</v>
      </c>
      <c r="AU38" s="74">
        <f>+AT38/AT56</f>
        <v>0.7648733202190009</v>
      </c>
      <c r="AV38" s="36">
        <f>+AV12+AV28+AV30+AV32+AV34+AV36</f>
        <v>33066.668325374769</v>
      </c>
      <c r="AW38" s="74">
        <f>+AV38/AV56</f>
        <v>0.76403753652121376</v>
      </c>
      <c r="AX38" s="36">
        <f>+AX12+AX28+AX30+AX32+AX34+AX36</f>
        <v>31887.980058602785</v>
      </c>
      <c r="AY38" s="74">
        <f>+AX38/AX56</f>
        <v>0.75143509758950822</v>
      </c>
      <c r="AZ38" s="36">
        <f>+AZ12+AZ28+AZ30+AZ32+AZ34+AZ36</f>
        <v>31530.769434217236</v>
      </c>
      <c r="BA38" s="74">
        <f>+AZ38/AZ56</f>
        <v>0.73980942975093711</v>
      </c>
      <c r="BB38" s="66">
        <f t="shared" si="1"/>
        <v>-1.1202046154352756E-2</v>
      </c>
      <c r="BC38" s="36">
        <f>+BC12+BC28+BC30+BC32+BC34+BC36</f>
        <v>30447.180831847043</v>
      </c>
      <c r="BD38" s="74">
        <f>+BC38/BC56</f>
        <v>0.71588018188395441</v>
      </c>
      <c r="BE38" s="66">
        <f t="shared" si="2"/>
        <v>-3.436606913861992E-2</v>
      </c>
      <c r="BF38" s="36">
        <f>+BF12+BF28+BF30+BF32+BF34+BF36</f>
        <v>33220.473896398827</v>
      </c>
      <c r="BG38" s="74">
        <f>+BF38/BF56</f>
        <v>0.74071823689550564</v>
      </c>
      <c r="BH38" s="66">
        <f t="shared" ref="BH38" si="125">(+BF38-BC38)/BC38</f>
        <v>9.1085380937830029E-2</v>
      </c>
      <c r="BI38" s="36">
        <f>+BI12+BI28+BI30+BI32+BI34+BI36</f>
        <v>35161.264958587795</v>
      </c>
      <c r="BJ38" s="74">
        <f>+BI38/BI56</f>
        <v>0.74454833367154549</v>
      </c>
      <c r="BK38" s="66">
        <f t="shared" ref="BK38" si="126">(+BI38-BF38)/BF38</f>
        <v>5.8421534510359703E-2</v>
      </c>
      <c r="BL38" s="36">
        <f>+BL12+BL28+BL30+BL32+BL34+BL36</f>
        <v>39229.291868064523</v>
      </c>
      <c r="BM38" s="74">
        <f>+BL38/BL56</f>
        <v>0.77970141458492026</v>
      </c>
      <c r="BN38" s="66">
        <f t="shared" ref="BN38" si="127">(+BL38-BI38)/BI38</f>
        <v>0.11569626161823146</v>
      </c>
      <c r="BO38" s="36">
        <f>+BO12+BO28+BO30+BO32+BO34+BO36</f>
        <v>39680.064528250252</v>
      </c>
      <c r="BP38" s="74">
        <f>+BO38/BO56</f>
        <v>0.7592278256350955</v>
      </c>
      <c r="BQ38" s="66">
        <f t="shared" ref="BQ38" si="128">(+BO38-BL38)/BL38</f>
        <v>1.1490716215366863E-2</v>
      </c>
      <c r="BR38" s="36">
        <f>+BR12+BR28+BR30+BR32+BR34+BR36</f>
        <v>39332.757403049414</v>
      </c>
      <c r="BS38" s="74">
        <f>+BR38/BR56</f>
        <v>0.75440991696552739</v>
      </c>
      <c r="BT38" s="66">
        <f t="shared" si="7"/>
        <v>-8.7526854940866358E-3</v>
      </c>
      <c r="BU38" s="36">
        <f>+BU12+BU28+BU30+BU32+BU34+BU36</f>
        <v>40524.898646918286</v>
      </c>
      <c r="BV38" s="74">
        <f>+BU38/BU56</f>
        <v>0.73790043449973042</v>
      </c>
      <c r="BW38" s="66">
        <f t="shared" ref="BW38" si="129">(+BU38-BR38)/BR38</f>
        <v>3.0309119486660912E-2</v>
      </c>
      <c r="BX38" s="36">
        <f>+BX12+BX28+BX30+BX32+BX34+BX36</f>
        <v>41436.537448312913</v>
      </c>
      <c r="BY38" s="74">
        <f>+BX38/BX56</f>
        <v>0.73381286415927405</v>
      </c>
      <c r="BZ38" s="66">
        <f t="shared" ref="BZ38" si="130">(+BX38-BU38)/BU38</f>
        <v>2.2495770053306541E-2</v>
      </c>
      <c r="CA38" s="36">
        <f>+CA12+CA28+CA30+CA32+CA34+CA36</f>
        <v>39748.514821880075</v>
      </c>
      <c r="CB38" s="74">
        <f>+CA38/CA56</f>
        <v>0.71918098101701811</v>
      </c>
      <c r="CC38" s="66">
        <f t="shared" ref="CC38" si="131">(+CA38-BX38)/BX38</f>
        <v>-4.0737540595384987E-2</v>
      </c>
      <c r="CD38" s="36">
        <f>+CD12+CD28+CD30+CD32+CD34+CD36</f>
        <v>40865.036079801983</v>
      </c>
      <c r="CE38" s="74">
        <f>+CD38/CD56</f>
        <v>0.72494237710536669</v>
      </c>
      <c r="CF38" s="66">
        <f t="shared" ref="CF38" si="132">(+CD38-CA38)/CA38</f>
        <v>2.808963461717328E-2</v>
      </c>
      <c r="CG38" s="36">
        <f>+CG12+CG28+CG30+CG32+CG34+CG36</f>
        <v>42090.731348461944</v>
      </c>
      <c r="CH38" s="74">
        <f>+CG38/CG56</f>
        <v>0.7336224205129579</v>
      </c>
      <c r="CI38" s="66">
        <f t="shared" ref="CI38" si="133">(+CG38-CD38)/CD38</f>
        <v>2.9993740034057519E-2</v>
      </c>
      <c r="CJ38" s="36">
        <f>+CJ12+CJ28+CJ30+CJ32+CJ34+CJ36</f>
        <v>43367.600312510018</v>
      </c>
      <c r="CK38" s="74">
        <f>+CJ38/CJ56</f>
        <v>0.73938283634521362</v>
      </c>
      <c r="CL38" s="66">
        <f t="shared" ref="CL38" si="134">(+CJ38-CG38)/CG38</f>
        <v>3.0336107811410884E-2</v>
      </c>
    </row>
    <row r="39" spans="2:90" x14ac:dyDescent="0.35">
      <c r="B39" s="1"/>
      <c r="C39" s="20"/>
      <c r="D39" s="38"/>
      <c r="E39" s="1"/>
      <c r="F39" s="38"/>
      <c r="G39" s="1"/>
      <c r="H39" s="38"/>
      <c r="I39" s="1"/>
      <c r="J39" s="1"/>
      <c r="K39" s="38"/>
      <c r="L39" s="1"/>
      <c r="M39" s="1"/>
      <c r="N39" s="38"/>
      <c r="O39" s="1"/>
      <c r="P39" s="1"/>
      <c r="Q39" s="38"/>
      <c r="R39" s="1"/>
      <c r="S39" s="1"/>
      <c r="T39" s="38"/>
      <c r="U39" s="1"/>
      <c r="V39" s="38"/>
      <c r="W39" s="1"/>
      <c r="X39" s="38"/>
      <c r="Y39" s="1"/>
      <c r="Z39" s="38"/>
      <c r="AA39" s="1"/>
      <c r="AB39" s="38"/>
      <c r="AC39" s="1"/>
      <c r="AD39" s="38"/>
      <c r="AE39" s="1"/>
      <c r="AF39" s="38"/>
      <c r="AG39" s="1"/>
      <c r="AH39" s="38"/>
      <c r="AI39" s="1"/>
      <c r="AJ39" s="15"/>
      <c r="AK39" s="2"/>
      <c r="AL39" s="15"/>
      <c r="AM39" s="64"/>
      <c r="AN39" s="15"/>
      <c r="AO39" s="64"/>
      <c r="AP39" s="15"/>
      <c r="AQ39" s="65"/>
      <c r="AR39" s="15"/>
      <c r="AS39" s="65"/>
      <c r="AT39" s="15"/>
      <c r="AU39" s="65"/>
      <c r="AV39" s="15"/>
      <c r="AW39" s="65"/>
      <c r="AX39" s="15"/>
      <c r="AY39" s="65"/>
      <c r="AZ39" s="15"/>
      <c r="BA39" s="65"/>
      <c r="BB39" s="66"/>
      <c r="BC39" s="15"/>
      <c r="BD39" s="65"/>
      <c r="BE39" s="66"/>
      <c r="BF39" s="15"/>
      <c r="BG39" s="65"/>
      <c r="BH39" s="66"/>
      <c r="BI39" s="15"/>
      <c r="BJ39" s="65"/>
      <c r="BK39" s="66"/>
      <c r="BL39" s="15"/>
      <c r="BM39" s="65"/>
      <c r="BN39" s="66"/>
      <c r="BO39" s="66"/>
      <c r="BP39" s="65"/>
      <c r="BQ39" s="66"/>
      <c r="BR39" s="15"/>
      <c r="BS39" s="65"/>
      <c r="BT39" s="66"/>
      <c r="BU39" s="15"/>
      <c r="BV39" s="65"/>
      <c r="BW39" s="66"/>
      <c r="BX39" s="15"/>
      <c r="BY39" s="65"/>
      <c r="BZ39" s="66"/>
      <c r="CA39" s="15"/>
      <c r="CB39" s="65"/>
      <c r="CC39" s="66"/>
      <c r="CD39" s="15"/>
      <c r="CE39" s="65"/>
      <c r="CF39" s="66"/>
      <c r="CG39" s="15"/>
      <c r="CH39" s="65"/>
      <c r="CI39" s="66"/>
      <c r="CJ39" s="15"/>
      <c r="CK39" s="65"/>
      <c r="CL39" s="66"/>
    </row>
    <row r="40" spans="2:90" x14ac:dyDescent="0.35">
      <c r="B40" s="1"/>
      <c r="C40" s="2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5"/>
      <c r="AK40" s="2"/>
      <c r="AL40" s="15"/>
      <c r="AM40" s="64"/>
      <c r="AN40" s="15"/>
      <c r="AO40" s="64"/>
      <c r="AP40" s="15"/>
      <c r="AQ40" s="65"/>
      <c r="AR40" s="15"/>
      <c r="AS40" s="65"/>
      <c r="AT40" s="15"/>
      <c r="AU40" s="65"/>
      <c r="AV40" s="15"/>
      <c r="AW40" s="65"/>
      <c r="AX40" s="15"/>
      <c r="AY40" s="65"/>
      <c r="AZ40" s="15"/>
      <c r="BA40" s="65"/>
      <c r="BB40" s="66"/>
      <c r="BC40" s="15"/>
      <c r="BD40" s="65"/>
      <c r="BE40" s="66"/>
      <c r="BF40" s="15"/>
      <c r="BG40" s="65"/>
      <c r="BH40" s="66"/>
      <c r="BI40" s="15"/>
      <c r="BJ40" s="65"/>
      <c r="BK40" s="66"/>
      <c r="BL40" s="15"/>
      <c r="BM40" s="65"/>
      <c r="BN40" s="66"/>
      <c r="BO40" s="66"/>
      <c r="BP40" s="65"/>
      <c r="BQ40" s="66"/>
      <c r="BR40" s="15"/>
      <c r="BS40" s="65"/>
      <c r="BT40" s="66"/>
      <c r="BU40" s="15"/>
      <c r="BV40" s="65"/>
      <c r="BW40" s="66"/>
      <c r="BX40" s="15"/>
      <c r="BY40" s="65"/>
      <c r="BZ40" s="66"/>
      <c r="CA40" s="15"/>
      <c r="CB40" s="65"/>
      <c r="CC40" s="66"/>
      <c r="CD40" s="15"/>
      <c r="CE40" s="65"/>
      <c r="CF40" s="66"/>
      <c r="CG40" s="15"/>
      <c r="CH40" s="65"/>
      <c r="CI40" s="66"/>
      <c r="CJ40" s="15"/>
      <c r="CK40" s="65"/>
      <c r="CL40" s="66"/>
    </row>
    <row r="41" spans="2:90" x14ac:dyDescent="0.35">
      <c r="B41" s="1"/>
      <c r="C41" s="12" t="s">
        <v>9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5"/>
      <c r="AK41" s="2"/>
      <c r="AL41" s="15"/>
      <c r="AM41" s="64"/>
      <c r="AN41" s="15"/>
      <c r="AO41" s="64"/>
      <c r="AP41" s="15"/>
      <c r="AQ41" s="65"/>
      <c r="AR41" s="15"/>
      <c r="AS41" s="65"/>
      <c r="AT41" s="15"/>
      <c r="AU41" s="65"/>
      <c r="AV41" s="15"/>
      <c r="AW41" s="65"/>
      <c r="AX41" s="15"/>
      <c r="AY41" s="65"/>
      <c r="AZ41" s="15"/>
      <c r="BA41" s="65"/>
      <c r="BB41" s="66"/>
      <c r="BC41" s="15"/>
      <c r="BD41" s="65"/>
      <c r="BE41" s="66"/>
      <c r="BF41" s="15"/>
      <c r="BG41" s="65"/>
      <c r="BH41" s="66"/>
      <c r="BI41" s="15"/>
      <c r="BJ41" s="65"/>
      <c r="BK41" s="66"/>
      <c r="BL41" s="15"/>
      <c r="BM41" s="65"/>
      <c r="BN41" s="66"/>
      <c r="BO41" s="66"/>
      <c r="BP41" s="65"/>
      <c r="BQ41" s="66"/>
      <c r="BR41" s="15"/>
      <c r="BS41" s="65"/>
      <c r="BT41" s="66"/>
      <c r="BU41" s="15"/>
      <c r="BV41" s="65"/>
      <c r="BW41" s="66"/>
      <c r="BX41" s="15"/>
      <c r="BY41" s="65"/>
      <c r="BZ41" s="66"/>
      <c r="CA41" s="15"/>
      <c r="CB41" s="65"/>
      <c r="CC41" s="66"/>
      <c r="CD41" s="15"/>
      <c r="CE41" s="65"/>
      <c r="CF41" s="66"/>
      <c r="CG41" s="15"/>
      <c r="CH41" s="65"/>
      <c r="CI41" s="66"/>
      <c r="CJ41" s="15"/>
      <c r="CK41" s="65"/>
      <c r="CL41" s="66"/>
    </row>
    <row r="42" spans="2:90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5"/>
      <c r="AK42" s="2"/>
      <c r="AL42" s="15"/>
      <c r="AM42" s="64"/>
      <c r="AN42" s="15"/>
      <c r="AO42" s="64"/>
      <c r="AP42" s="15"/>
      <c r="AQ42" s="65"/>
      <c r="AR42" s="15"/>
      <c r="AS42" s="65"/>
      <c r="AT42" s="15"/>
      <c r="AU42" s="65"/>
      <c r="AV42" s="15"/>
      <c r="AW42" s="65"/>
      <c r="AX42" s="15"/>
      <c r="AY42" s="65"/>
      <c r="AZ42" s="15"/>
      <c r="BA42" s="65"/>
      <c r="BB42" s="66"/>
      <c r="BC42" s="15"/>
      <c r="BD42" s="65"/>
      <c r="BE42" s="66"/>
      <c r="BF42" s="15"/>
      <c r="BG42" s="65"/>
      <c r="BH42" s="66"/>
      <c r="BI42" s="15"/>
      <c r="BJ42" s="65"/>
      <c r="BK42" s="66"/>
      <c r="BL42" s="15"/>
      <c r="BM42" s="65"/>
      <c r="BN42" s="66"/>
      <c r="BO42" s="66"/>
      <c r="BP42" s="65"/>
      <c r="BQ42" s="66"/>
      <c r="BR42" s="15"/>
      <c r="BS42" s="65"/>
      <c r="BT42" s="66"/>
      <c r="BU42" s="15"/>
      <c r="BV42" s="65"/>
      <c r="BW42" s="66"/>
      <c r="BX42" s="15"/>
      <c r="BY42" s="65"/>
      <c r="BZ42" s="66"/>
      <c r="CA42" s="15"/>
      <c r="CB42" s="65"/>
      <c r="CC42" s="66"/>
      <c r="CD42" s="15"/>
      <c r="CE42" s="65"/>
      <c r="CF42" s="66"/>
      <c r="CG42" s="15"/>
      <c r="CH42" s="65"/>
      <c r="CI42" s="66"/>
      <c r="CJ42" s="15"/>
      <c r="CK42" s="65"/>
      <c r="CL42" s="66"/>
    </row>
    <row r="43" spans="2:90" x14ac:dyDescent="0.35">
      <c r="B43" s="100" t="s">
        <v>1</v>
      </c>
      <c r="C43" s="100"/>
      <c r="D43" s="40">
        <f>+D46+D45</f>
        <v>158.29</v>
      </c>
      <c r="E43" s="16">
        <v>2.8659916546246687E-2</v>
      </c>
      <c r="F43" s="40">
        <v>213.96870101000002</v>
      </c>
      <c r="G43" s="16">
        <v>3.6918398578606286E-2</v>
      </c>
      <c r="H43" s="40">
        <f>+H45+H46</f>
        <v>180.11799999999999</v>
      </c>
      <c r="I43" s="16">
        <v>3.1155653727666953E-2</v>
      </c>
      <c r="J43" s="16">
        <f t="shared" ref="J43:J56" si="135">(+H43-F43)/F43</f>
        <v>-0.15820398427533558</v>
      </c>
      <c r="K43" s="40">
        <f>+K45+K46</f>
        <v>171.791</v>
      </c>
      <c r="L43" s="16">
        <v>2.9504040157514247E-2</v>
      </c>
      <c r="M43" s="16">
        <f t="shared" ref="M43:M56" si="136">(+K43-H43)/H43</f>
        <v>-4.6230804250546854E-2</v>
      </c>
      <c r="N43" s="40">
        <f>+N45+N46</f>
        <v>156.54108287593922</v>
      </c>
      <c r="O43" s="16">
        <v>2.6772210621181337E-2</v>
      </c>
      <c r="P43" s="16">
        <f>(+N43-H43)/H43</f>
        <v>-0.13089706261484566</v>
      </c>
      <c r="Q43" s="40">
        <f>+Q45+Q46</f>
        <v>158.37264635198434</v>
      </c>
      <c r="R43" s="16">
        <v>2.6778918314843764E-2</v>
      </c>
      <c r="S43" s="16">
        <f>(+Q43-K43)/K43</f>
        <v>-7.8108595025441693E-2</v>
      </c>
      <c r="T43" s="40">
        <f>+T45+T46</f>
        <v>162.54941986998932</v>
      </c>
      <c r="U43" s="16">
        <f>+T43/$T$54</f>
        <v>2.7470024808051829E-2</v>
      </c>
      <c r="V43" s="40">
        <f>+V45+V46</f>
        <v>162.39794526999998</v>
      </c>
      <c r="W43" s="16">
        <f>+V43/$V$54</f>
        <v>2.7534685134683847E-2</v>
      </c>
      <c r="X43" s="40">
        <f>+X45+X46</f>
        <v>158.95400000000001</v>
      </c>
      <c r="Y43" s="16">
        <f>+V43/$X$54</f>
        <v>2.7567270062997171E-2</v>
      </c>
      <c r="Z43" s="40">
        <f>+Z45+Z46</f>
        <v>158.15917720000331</v>
      </c>
      <c r="AA43" s="16">
        <f>+Z43/$Z$54</f>
        <v>2.5748330696032135E-2</v>
      </c>
      <c r="AB43" s="40">
        <f>+AB45+AB46</f>
        <v>157.31299999999999</v>
      </c>
      <c r="AC43" s="16">
        <f>+AB43/$AV$54</f>
        <v>1.5404441173058286E-2</v>
      </c>
      <c r="AD43" s="40">
        <f>+AD45+AD46</f>
        <v>154.28699999999998</v>
      </c>
      <c r="AE43" s="16">
        <f>+AD43/$AD$54</f>
        <v>2.5107982342540726E-2</v>
      </c>
      <c r="AF43" s="40">
        <f>+AF45+AF46</f>
        <v>195.40699999999998</v>
      </c>
      <c r="AG43" s="16">
        <f>+AF43/$AF$54</f>
        <v>3.1576283081952795E-2</v>
      </c>
      <c r="AH43" s="40">
        <f>+AH45+AH46</f>
        <v>366.72500000000002</v>
      </c>
      <c r="AI43" s="16">
        <f>+AH43/$AV$54</f>
        <v>3.5910533072217816E-2</v>
      </c>
      <c r="AJ43" s="15">
        <f>+AJ45+AJ46</f>
        <v>366.72500000000002</v>
      </c>
      <c r="AK43" s="2">
        <f>+AJ43/$AJ$54</f>
        <v>4.549427396051358E-2</v>
      </c>
      <c r="AL43" s="15">
        <f>+AL45+AL46</f>
        <v>642.70365388404889</v>
      </c>
      <c r="AM43" s="64">
        <f>+AL43/$AL$54</f>
        <v>7.2280640344367167E-2</v>
      </c>
      <c r="AN43" s="15">
        <f>+AN45+AN46</f>
        <v>525.08339471488375</v>
      </c>
      <c r="AO43" s="64">
        <f>+AN43/AN54</f>
        <v>5.6363207746650448E-2</v>
      </c>
      <c r="AP43" s="15">
        <f>+AP45+AP46</f>
        <v>498.33117358322784</v>
      </c>
      <c r="AQ43" s="65">
        <f>+AP43/$AP$54</f>
        <v>5.3257426419923717E-2</v>
      </c>
      <c r="AR43" s="15">
        <f>+AR45+AR46</f>
        <v>499.67837170748464</v>
      </c>
      <c r="AS43" s="65">
        <f>+AR43/$AR$54</f>
        <v>5.210963161656295E-2</v>
      </c>
      <c r="AT43" s="15">
        <f>+AT45+AT46</f>
        <v>427.37530352013005</v>
      </c>
      <c r="AU43" s="65">
        <f>+AT43/$AT$54</f>
        <v>4.2987756508303804E-2</v>
      </c>
      <c r="AV43" s="15">
        <f>+AV45+AV46</f>
        <v>555.74578611002187</v>
      </c>
      <c r="AW43" s="65">
        <f>+AV43/$AV$54</f>
        <v>5.4419871652736047E-2</v>
      </c>
      <c r="AX43" s="15">
        <f>+AX45+AX46</f>
        <v>740.98370928998838</v>
      </c>
      <c r="AY43" s="65">
        <f>+AX43/$AX$54</f>
        <v>7.0247895866244317E-2</v>
      </c>
      <c r="AZ43" s="15">
        <f>+AZ45+AZ46</f>
        <v>1194.4138138400117</v>
      </c>
      <c r="BA43" s="65">
        <f>+AZ43/$AZ$54</f>
        <v>0.10770814799015105</v>
      </c>
      <c r="BB43" s="66">
        <f t="shared" si="1"/>
        <v>0.61192992351275932</v>
      </c>
      <c r="BC43" s="15">
        <f>+BC45+BC46</f>
        <v>1876.8122058901799</v>
      </c>
      <c r="BD43" s="70">
        <f>+BC43/$BC$54</f>
        <v>0.15531469365812095</v>
      </c>
      <c r="BE43" s="75">
        <f t="shared" si="2"/>
        <v>0.57132493290267117</v>
      </c>
      <c r="BF43" s="76">
        <f>+BF45+BF46</f>
        <v>2363.9196541199658</v>
      </c>
      <c r="BG43" s="70">
        <f>+BF43/$BF$54</f>
        <v>0.2032862264127635</v>
      </c>
      <c r="BH43" s="75">
        <f t="shared" ref="BH43" si="137">(+BF43-BC43)/BC43</f>
        <v>0.25953979130200122</v>
      </c>
      <c r="BI43" s="76">
        <f>+BI45+BI46</f>
        <v>1707.73713704787</v>
      </c>
      <c r="BJ43" s="70">
        <f>+BI43/$BI$54</f>
        <v>0.14156004370789615</v>
      </c>
      <c r="BK43" s="75">
        <f t="shared" ref="BK43" si="138">(+BI43-BF43)/BF43</f>
        <v>-0.27758241103011511</v>
      </c>
      <c r="BL43" s="76">
        <f>+BL45+BL46</f>
        <v>1225.2198353901806</v>
      </c>
      <c r="BM43" s="77">
        <f>+BL43/$BL$54</f>
        <v>0.11054017914364977</v>
      </c>
      <c r="BN43" s="75">
        <f t="shared" ref="BN43" si="139">(+BL43-BI43)/BI43</f>
        <v>-0.28254775936524229</v>
      </c>
      <c r="BO43" s="76">
        <f>+BO45+BO46</f>
        <v>2374.3825698881005</v>
      </c>
      <c r="BP43" s="77">
        <f>+BO43/$BO$54</f>
        <v>0.18868794192290012</v>
      </c>
      <c r="BQ43" s="75">
        <f t="shared" ref="BQ43" si="140">(+BO43-BL43)/BL43</f>
        <v>0.93792371075347492</v>
      </c>
      <c r="BR43" s="76">
        <f>+BR45+BR46</f>
        <v>2275.4517480743998</v>
      </c>
      <c r="BS43" s="77">
        <f>+BR43/$BR$54</f>
        <v>0.17770915418450439</v>
      </c>
      <c r="BT43" s="66">
        <f t="shared" si="7"/>
        <v>-4.1665914780684703E-2</v>
      </c>
      <c r="BU43" s="76">
        <f>+BU45+BU46</f>
        <v>2116.1027148782996</v>
      </c>
      <c r="BV43" s="77">
        <f>+BU43/$BU$54</f>
        <v>0.14700979504499137</v>
      </c>
      <c r="BW43" s="66">
        <f t="shared" ref="BW43" si="141">(+BU43-BR43)/BR43</f>
        <v>-7.0029625251754629E-2</v>
      </c>
      <c r="BX43" s="76">
        <f>+BX45+BX46</f>
        <v>2024.0816880300001</v>
      </c>
      <c r="BY43" s="77">
        <f>+BX43/$BX$54</f>
        <v>0.13466131031792844</v>
      </c>
      <c r="BZ43" s="66">
        <f t="shared" ref="BZ43" si="142">(+BX43-BU43)/BU43</f>
        <v>-4.3486087041664109E-2</v>
      </c>
      <c r="CA43" s="76">
        <f>+CA45+CA46</f>
        <v>1503.26697072</v>
      </c>
      <c r="CB43" s="77">
        <f>+CA43/$CA$54</f>
        <v>9.6856079350728111E-2</v>
      </c>
      <c r="CC43" s="66">
        <f t="shared" ref="CC43" si="143">(+CA43-BX43)/BX43</f>
        <v>-0.257309139443329</v>
      </c>
      <c r="CD43" s="76">
        <f>+CD45+CD46</f>
        <v>2019.1739317900001</v>
      </c>
      <c r="CE43" s="77">
        <f>+CD43/$CD$54</f>
        <v>0.13022718296968047</v>
      </c>
      <c r="CF43" s="66">
        <f t="shared" ref="CF43" si="144">(+CD43-CA43)/CA43</f>
        <v>0.34319051181102112</v>
      </c>
      <c r="CG43" s="76">
        <f>+CG45+CG46</f>
        <v>2118.5771971700001</v>
      </c>
      <c r="CH43" s="77">
        <f>+CG43/$CG$54</f>
        <v>0.13862218782170749</v>
      </c>
      <c r="CI43" s="66">
        <f t="shared" ref="CI43" si="145">(+CG43-CD43)/CD43</f>
        <v>4.922966952722041E-2</v>
      </c>
      <c r="CJ43" s="76">
        <f>+CJ45+CJ46</f>
        <v>1040.8853593200004</v>
      </c>
      <c r="CK43" s="104">
        <f>+CJ43/$CJ$54</f>
        <v>6.8093218042529186E-2</v>
      </c>
      <c r="CL43" s="66">
        <f t="shared" ref="CL43" si="146">(+CJ43-CG43)/CG43</f>
        <v>-0.50868660310777569</v>
      </c>
    </row>
    <row r="44" spans="2:90" x14ac:dyDescent="0.35">
      <c r="B44" s="101" t="s">
        <v>2</v>
      </c>
      <c r="C44" s="101"/>
      <c r="D44" s="1"/>
      <c r="E44" s="39"/>
      <c r="F44" s="1"/>
      <c r="G44" s="39"/>
      <c r="H44" s="1"/>
      <c r="I44" s="39"/>
      <c r="J44" s="39"/>
      <c r="K44" s="1"/>
      <c r="L44" s="39"/>
      <c r="M44" s="39"/>
      <c r="N44" s="1"/>
      <c r="O44" s="39"/>
      <c r="P44" s="39"/>
      <c r="Q44" s="1"/>
      <c r="R44" s="39"/>
      <c r="S44" s="39"/>
      <c r="T44" s="1"/>
      <c r="U44" s="39"/>
      <c r="V44" s="1"/>
      <c r="W44" s="39"/>
      <c r="X44" s="1"/>
      <c r="Y44" s="39"/>
      <c r="Z44" s="1"/>
      <c r="AA44" s="39"/>
      <c r="AB44" s="1"/>
      <c r="AC44" s="39"/>
      <c r="AD44" s="1"/>
      <c r="AE44" s="39"/>
      <c r="AF44" s="1"/>
      <c r="AG44" s="39"/>
      <c r="AH44" s="1"/>
      <c r="AI44" s="39"/>
      <c r="AJ44" s="15"/>
      <c r="AK44" s="2"/>
      <c r="AL44" s="15"/>
      <c r="AM44" s="64"/>
      <c r="AN44" s="15"/>
      <c r="AO44" s="64"/>
      <c r="AP44" s="15"/>
      <c r="AQ44" s="65"/>
      <c r="AR44" s="15"/>
      <c r="AS44" s="65"/>
      <c r="AT44" s="15"/>
      <c r="AU44" s="65"/>
      <c r="AV44" s="15"/>
      <c r="AW44" s="65"/>
      <c r="AX44" s="15"/>
      <c r="AY44" s="65"/>
      <c r="AZ44" s="15"/>
      <c r="BA44" s="65"/>
      <c r="BB44" s="66"/>
      <c r="BC44" s="15"/>
      <c r="BD44" s="70"/>
      <c r="BE44" s="75"/>
      <c r="BF44" s="76"/>
      <c r="BG44" s="70"/>
      <c r="BH44" s="75"/>
      <c r="BI44" s="76"/>
      <c r="BJ44" s="70"/>
      <c r="BK44" s="75"/>
      <c r="BL44" s="76"/>
      <c r="BM44" s="70"/>
      <c r="BN44" s="75"/>
      <c r="BO44" s="75"/>
      <c r="BP44" s="70"/>
      <c r="BQ44" s="75"/>
      <c r="BR44" s="76"/>
      <c r="BS44" s="70"/>
      <c r="BT44" s="66"/>
      <c r="BU44" s="76"/>
      <c r="BV44" s="70"/>
      <c r="BW44" s="66"/>
      <c r="BX44" s="76"/>
      <c r="BY44" s="70"/>
      <c r="BZ44" s="66"/>
      <c r="CA44" s="76"/>
      <c r="CB44" s="70"/>
      <c r="CC44" s="66"/>
      <c r="CD44" s="76"/>
      <c r="CE44" s="77"/>
      <c r="CF44" s="66"/>
      <c r="CG44" s="76"/>
      <c r="CH44" s="77"/>
      <c r="CI44" s="66"/>
      <c r="CJ44" s="76"/>
      <c r="CK44" s="77"/>
      <c r="CL44" s="66"/>
    </row>
    <row r="45" spans="2:90" x14ac:dyDescent="0.35">
      <c r="B45" s="14"/>
      <c r="C45" s="23" t="s">
        <v>3</v>
      </c>
      <c r="D45" s="40">
        <v>45.68</v>
      </c>
      <c r="E45" s="16">
        <v>0.28858424410891403</v>
      </c>
      <c r="F45" s="40">
        <v>77.906531010000009</v>
      </c>
      <c r="G45" s="16">
        <v>0.36410246284740017</v>
      </c>
      <c r="H45" s="40">
        <v>45.755000000000003</v>
      </c>
      <c r="I45" s="16">
        <v>0.2540279150334781</v>
      </c>
      <c r="J45" s="16">
        <f t="shared" si="135"/>
        <v>-0.41269365473188718</v>
      </c>
      <c r="K45" s="40">
        <v>61.918999999999997</v>
      </c>
      <c r="L45" s="16">
        <v>0.36043215302315024</v>
      </c>
      <c r="M45" s="16">
        <f t="shared" si="136"/>
        <v>0.35327286635340388</v>
      </c>
      <c r="N45" s="40">
        <v>41.914999999999999</v>
      </c>
      <c r="O45" s="16">
        <v>0.26775718699491918</v>
      </c>
      <c r="P45" s="16">
        <f>(+N45-H45)/H45</f>
        <v>-8.3925254070593452E-2</v>
      </c>
      <c r="Q45" s="40">
        <v>41.914999999999999</v>
      </c>
      <c r="R45" s="16">
        <v>0.26466060248083251</v>
      </c>
      <c r="S45" s="16">
        <f>(+Q45-K45)/K45</f>
        <v>-0.32306723299794893</v>
      </c>
      <c r="T45" s="40">
        <v>40.803105039999998</v>
      </c>
      <c r="U45" s="16">
        <f>+T45/$T$43</f>
        <v>0.25101969033562371</v>
      </c>
      <c r="V45" s="40">
        <v>44.287945269999994</v>
      </c>
      <c r="W45" s="16">
        <f>+V45/$V$43</f>
        <v>0.27271247303263368</v>
      </c>
      <c r="X45" s="40">
        <v>42.314999999999998</v>
      </c>
      <c r="Y45" s="16">
        <f>+V45/$X$43</f>
        <v>0.27862114366420471</v>
      </c>
      <c r="Z45" s="40">
        <v>45.125</v>
      </c>
      <c r="AA45" s="16">
        <f>+Z45/$Z$43</f>
        <v>0.28531382622796708</v>
      </c>
      <c r="AB45" s="40">
        <v>46.518000000000001</v>
      </c>
      <c r="AC45" s="16">
        <f>+AB45/$AV$43</f>
        <v>8.3703738584516699E-2</v>
      </c>
      <c r="AD45" s="40">
        <v>44.912999999999997</v>
      </c>
      <c r="AE45" s="16">
        <f>+AD45/$AD$43</f>
        <v>0.29110035194151163</v>
      </c>
      <c r="AF45" s="40">
        <v>64.858999999999995</v>
      </c>
      <c r="AG45" s="16">
        <f>+AF45/$AF$43</f>
        <v>0.33191748504403629</v>
      </c>
      <c r="AH45" s="40">
        <v>111.26300000000001</v>
      </c>
      <c r="AI45" s="16">
        <f>+AH45/$AV$43</f>
        <v>0.20020484685775575</v>
      </c>
      <c r="AJ45" s="15">
        <v>111.26300000000001</v>
      </c>
      <c r="AK45" s="2">
        <f>+AJ45/$AJ$43</f>
        <v>0.3033962778648851</v>
      </c>
      <c r="AL45" s="15">
        <v>184.179</v>
      </c>
      <c r="AM45" s="64">
        <f>+AL45/$AL$43</f>
        <v>0.28656908808118897</v>
      </c>
      <c r="AN45" s="15">
        <v>160.24897237544539</v>
      </c>
      <c r="AO45" s="64">
        <f>+AN45/AN43</f>
        <v>0.3051876596906275</v>
      </c>
      <c r="AP45" s="15">
        <v>170.482</v>
      </c>
      <c r="AQ45" s="65">
        <f>+AP45/$AP$43</f>
        <v>0.34210583049452209</v>
      </c>
      <c r="AR45" s="15">
        <v>123.36140652</v>
      </c>
      <c r="AS45" s="65">
        <f>+AR45/$AR$43</f>
        <v>0.24688162126860411</v>
      </c>
      <c r="AT45" s="15">
        <v>112.93300000000001</v>
      </c>
      <c r="AU45" s="65">
        <f>+AT45/$AT$43</f>
        <v>0.26424783807069163</v>
      </c>
      <c r="AV45" s="15">
        <v>78.542000000000002</v>
      </c>
      <c r="AW45" s="65">
        <f>+AV45/$AV$43</f>
        <v>0.14132720744453997</v>
      </c>
      <c r="AX45" s="15">
        <v>96.88</v>
      </c>
      <c r="AY45" s="65">
        <f>+AX45/$AX$43</f>
        <v>0.1307451146163936</v>
      </c>
      <c r="AZ45" s="15">
        <v>112.123</v>
      </c>
      <c r="BA45" s="65">
        <f>+AZ45/$AZ$43</f>
        <v>9.3872825900704587E-2</v>
      </c>
      <c r="BB45" s="66">
        <f t="shared" si="1"/>
        <v>0.15733897605284899</v>
      </c>
      <c r="BC45" s="15">
        <v>67.832999999999998</v>
      </c>
      <c r="BD45" s="70">
        <f>+BC45/$BC$43</f>
        <v>3.6142667757121986E-2</v>
      </c>
      <c r="BE45" s="75">
        <f t="shared" si="2"/>
        <v>-0.39501262006903137</v>
      </c>
      <c r="BF45" s="76">
        <v>185.976</v>
      </c>
      <c r="BG45" s="70">
        <f>+BF45/$BF$43</f>
        <v>7.8672724631681568E-2</v>
      </c>
      <c r="BH45" s="75">
        <f t="shared" ref="BH45:BH46" si="147">(+BF45-BC45)/BC45</f>
        <v>1.7416744062624387</v>
      </c>
      <c r="BI45" s="76">
        <v>182.03399999999999</v>
      </c>
      <c r="BJ45" s="70">
        <f>+BI45/$BI$43</f>
        <v>0.10659368825033484</v>
      </c>
      <c r="BK45" s="75">
        <f t="shared" ref="BK45:BK46" si="148">(+BI45-BF45)/BF45</f>
        <v>-2.119628339140538E-2</v>
      </c>
      <c r="BL45" s="76">
        <v>113.15</v>
      </c>
      <c r="BM45" s="70">
        <f>+BL45/$BL$43</f>
        <v>9.2350773903335084E-2</v>
      </c>
      <c r="BN45" s="75">
        <f t="shared" ref="BN45:BN46" si="149">(+BL45-BI45)/BI45</f>
        <v>-0.37841282397793813</v>
      </c>
      <c r="BO45" s="15">
        <v>163.732</v>
      </c>
      <c r="BP45" s="70">
        <f>+BO45/$BO$43</f>
        <v>6.8957716450772436E-2</v>
      </c>
      <c r="BQ45" s="75">
        <f t="shared" ref="BQ45:BQ46" si="150">(+BO45-BL45)/BL45</f>
        <v>0.44703490941228452</v>
      </c>
      <c r="BR45" s="76">
        <v>179.71918600000001</v>
      </c>
      <c r="BS45" s="70">
        <f>+BR45/$BR$43</f>
        <v>7.8981760941354742E-2</v>
      </c>
      <c r="BT45" s="66">
        <f t="shared" si="7"/>
        <v>9.7642403439767475E-2</v>
      </c>
      <c r="BU45" s="76">
        <v>178.65156730000001</v>
      </c>
      <c r="BV45" s="70">
        <f>+BU45/$BU$43</f>
        <v>8.4424808892263309E-2</v>
      </c>
      <c r="BW45" s="66">
        <f t="shared" ref="BW45" si="151">(+BU45-BR45)/BR45</f>
        <v>-5.9404826149167898E-3</v>
      </c>
      <c r="BX45" s="76">
        <v>197.97063800000001</v>
      </c>
      <c r="BY45" s="70">
        <f>+BX45/$BX$43</f>
        <v>9.7807632552953452E-2</v>
      </c>
      <c r="BZ45" s="66">
        <f t="shared" ref="BZ45" si="152">(+BX45-BU45)/BU45</f>
        <v>0.10813826596639098</v>
      </c>
      <c r="CA45" s="84">
        <v>205.61600000000001</v>
      </c>
      <c r="CB45" s="70">
        <f>+CA45/$CA$43</f>
        <v>0.13677943040384824</v>
      </c>
      <c r="CC45" s="66">
        <f>(+CA45-BX45)/BX45</f>
        <v>3.8618666269085854E-2</v>
      </c>
      <c r="CD45" s="84">
        <v>195.18100000000001</v>
      </c>
      <c r="CE45" s="77">
        <f>+CD45/$CD$43</f>
        <v>9.6663787565329659E-2</v>
      </c>
      <c r="CF45" s="66">
        <f>(+CD45-CA45)/CA45</f>
        <v>-5.0749941638782985E-2</v>
      </c>
      <c r="CG45" s="84">
        <v>211.727</v>
      </c>
      <c r="CH45" s="77">
        <f>+CG45/$CG$43</f>
        <v>9.9938298346090665E-2</v>
      </c>
      <c r="CI45" s="66">
        <f>(+CG45-CD45)/CD45</f>
        <v>8.4772595693228286E-2</v>
      </c>
      <c r="CJ45" s="84">
        <v>206.953</v>
      </c>
      <c r="CK45" s="104">
        <f>+CJ45/$CJ$43</f>
        <v>0.19882400895253274</v>
      </c>
      <c r="CL45" s="66">
        <f>(+CJ45-CG45)/CG45</f>
        <v>-2.2547903668403185E-2</v>
      </c>
    </row>
    <row r="46" spans="2:90" x14ac:dyDescent="0.35">
      <c r="B46" s="1"/>
      <c r="C46" s="23" t="s">
        <v>4</v>
      </c>
      <c r="D46" s="40">
        <v>112.61</v>
      </c>
      <c r="E46" s="16">
        <v>0.71141575589108597</v>
      </c>
      <c r="F46" s="40">
        <v>136.06217000000001</v>
      </c>
      <c r="G46" s="16">
        <v>0.63589753715259978</v>
      </c>
      <c r="H46" s="40">
        <v>134.363</v>
      </c>
      <c r="I46" s="16">
        <v>0.74597208496652201</v>
      </c>
      <c r="J46" s="16">
        <f t="shared" si="135"/>
        <v>-1.2488188303920254E-2</v>
      </c>
      <c r="K46" s="40">
        <v>109.872</v>
      </c>
      <c r="L46" s="16">
        <v>0.63956784697684976</v>
      </c>
      <c r="M46" s="16">
        <f t="shared" si="136"/>
        <v>-0.1822748822220403</v>
      </c>
      <c r="N46" s="40">
        <v>114.62608287593922</v>
      </c>
      <c r="O46" s="16">
        <v>0.73224281300508076</v>
      </c>
      <c r="P46" s="16">
        <f>(+N46-H46)/H46</f>
        <v>-0.14689250109078231</v>
      </c>
      <c r="Q46" s="40">
        <v>116.45764635198434</v>
      </c>
      <c r="R46" s="16">
        <v>0.73533939751916744</v>
      </c>
      <c r="S46" s="16">
        <f>(+Q46-K46)/K46</f>
        <v>5.9939259793071367E-2</v>
      </c>
      <c r="T46" s="40">
        <v>121.74631482998933</v>
      </c>
      <c r="U46" s="16">
        <f>+T46/$T$43</f>
        <v>0.74898030966437634</v>
      </c>
      <c r="V46" s="40">
        <v>118.11</v>
      </c>
      <c r="W46" s="16">
        <f>+V46/$V$43</f>
        <v>0.72728752696736643</v>
      </c>
      <c r="X46" s="40">
        <v>116.639</v>
      </c>
      <c r="Y46" s="16">
        <f>+V46/$X$43</f>
        <v>0.74304515771858526</v>
      </c>
      <c r="Z46" s="40">
        <v>113.03417720000331</v>
      </c>
      <c r="AA46" s="16">
        <f>+Z46/$Z$43</f>
        <v>0.71468617377203292</v>
      </c>
      <c r="AB46" s="40">
        <v>110.795</v>
      </c>
      <c r="AC46" s="16">
        <f>+AB46/$AV$43</f>
        <v>0.19936273520941414</v>
      </c>
      <c r="AD46" s="40">
        <v>109.374</v>
      </c>
      <c r="AE46" s="16">
        <f>+AD46/$AD$43</f>
        <v>0.70889964805848849</v>
      </c>
      <c r="AF46" s="40">
        <v>130.548</v>
      </c>
      <c r="AG46" s="16">
        <f>+AF46/$AF$43</f>
        <v>0.66808251495596382</v>
      </c>
      <c r="AH46" s="40">
        <v>255.46199999999999</v>
      </c>
      <c r="AI46" s="16">
        <f>+AH46/$AV$43</f>
        <v>0.45967420065948245</v>
      </c>
      <c r="AJ46" s="15">
        <v>255.46199999999999</v>
      </c>
      <c r="AK46" s="2">
        <f>+AJ46/$AJ$43</f>
        <v>0.69660372213511479</v>
      </c>
      <c r="AL46" s="15">
        <v>458.52465388404892</v>
      </c>
      <c r="AM46" s="64">
        <f>+AL46/$AL$43</f>
        <v>0.71343091191881103</v>
      </c>
      <c r="AN46" s="15">
        <v>364.83442233943839</v>
      </c>
      <c r="AO46" s="64">
        <f>+AN46/AN43</f>
        <v>0.69481234030937256</v>
      </c>
      <c r="AP46" s="15">
        <v>327.84917358322781</v>
      </c>
      <c r="AQ46" s="65">
        <f>+AP46/$AP$43</f>
        <v>0.65789416950547785</v>
      </c>
      <c r="AR46" s="15">
        <v>376.31696518748464</v>
      </c>
      <c r="AS46" s="65">
        <f>+AR46/$AR$43</f>
        <v>0.75311837873139587</v>
      </c>
      <c r="AT46" s="15">
        <v>314.44230352013005</v>
      </c>
      <c r="AU46" s="65">
        <f>+AT46/$AT$43</f>
        <v>0.73575216192930837</v>
      </c>
      <c r="AV46" s="15">
        <v>477.20378611002184</v>
      </c>
      <c r="AW46" s="65">
        <f>+AV46/$AV$43</f>
        <v>0.85867279255546003</v>
      </c>
      <c r="AX46" s="15">
        <v>644.10370928998839</v>
      </c>
      <c r="AY46" s="65">
        <f>+AX46/$AX$43</f>
        <v>0.8692548853836064</v>
      </c>
      <c r="AZ46" s="15">
        <v>1082.2908138400117</v>
      </c>
      <c r="BA46" s="65">
        <f>+AZ46/$AZ$43</f>
        <v>0.90612717409929533</v>
      </c>
      <c r="BB46" s="66">
        <f t="shared" si="1"/>
        <v>0.68030520276470363</v>
      </c>
      <c r="BC46" s="15">
        <v>1808.9792058901799</v>
      </c>
      <c r="BD46" s="70">
        <f>+BC46/$BC$43</f>
        <v>0.96385733224287795</v>
      </c>
      <c r="BE46" s="75">
        <f t="shared" si="2"/>
        <v>0.67143542452499283</v>
      </c>
      <c r="BF46" s="76">
        <v>2177.9436541199657</v>
      </c>
      <c r="BG46" s="70">
        <f>+BF46/$BF$43</f>
        <v>0.92132727536831838</v>
      </c>
      <c r="BH46" s="75">
        <f t="shared" si="147"/>
        <v>0.20396279129600181</v>
      </c>
      <c r="BI46" s="76">
        <v>1525.7031370478701</v>
      </c>
      <c r="BJ46" s="70">
        <f>+BI46/$BI$43</f>
        <v>0.89340631174966523</v>
      </c>
      <c r="BK46" s="75">
        <f t="shared" si="148"/>
        <v>-0.29947538626091968</v>
      </c>
      <c r="BL46" s="76">
        <v>1112.0698353901805</v>
      </c>
      <c r="BM46" s="70">
        <f>+BL46/$BL$43</f>
        <v>0.90764922609666487</v>
      </c>
      <c r="BN46" s="75">
        <f t="shared" si="149"/>
        <v>-0.2711099503000573</v>
      </c>
      <c r="BO46" s="15">
        <v>2210.6505698881006</v>
      </c>
      <c r="BP46" s="70">
        <f>+BO46/$BO$43</f>
        <v>0.93104228354922758</v>
      </c>
      <c r="BQ46" s="75">
        <f t="shared" si="150"/>
        <v>0.98787027535233196</v>
      </c>
      <c r="BR46" s="76">
        <v>2095.7325620744</v>
      </c>
      <c r="BS46" s="70">
        <f>+BR46/$BR$43</f>
        <v>0.92101823905864533</v>
      </c>
      <c r="BT46" s="66">
        <f t="shared" si="7"/>
        <v>-5.1983795801575972E-2</v>
      </c>
      <c r="BU46" s="76">
        <v>1937.4511475782997</v>
      </c>
      <c r="BV46" s="70">
        <f>+BU46/$BU$43</f>
        <v>0.91557519110773677</v>
      </c>
      <c r="BW46" s="66">
        <f>(+BU46-BR46)/BR46</f>
        <v>-7.5525578673755034E-2</v>
      </c>
      <c r="BX46" s="76">
        <v>1826.1110500300001</v>
      </c>
      <c r="BY46" s="70">
        <f>+BX46/$BX$43</f>
        <v>0.90219236744704656</v>
      </c>
      <c r="BZ46" s="66">
        <f>(+BX46-BU46)/BU46</f>
        <v>-5.7467305788570809E-2</v>
      </c>
      <c r="CA46" s="84">
        <v>1297.65097072</v>
      </c>
      <c r="CB46" s="70">
        <f>+CA46/$CA$43</f>
        <v>0.86322056959615179</v>
      </c>
      <c r="CC46" s="66">
        <f>(+CA46-BX46)/BX46</f>
        <v>-0.28939098709321009</v>
      </c>
      <c r="CD46" s="84">
        <v>1823.9929317900001</v>
      </c>
      <c r="CE46" s="77">
        <f>+CD46/$CD$43</f>
        <v>0.90333621243467033</v>
      </c>
      <c r="CF46" s="66">
        <f>(+CD46-CA46)/CA46</f>
        <v>0.40561134923511816</v>
      </c>
      <c r="CG46" s="84">
        <v>1906.85019717</v>
      </c>
      <c r="CH46" s="77">
        <f>+CG46/$CG$43</f>
        <v>0.90006170165390931</v>
      </c>
      <c r="CI46" s="66">
        <f>(+CG46-CD46)/CD46</f>
        <v>4.5426308367701208E-2</v>
      </c>
      <c r="CJ46" s="84">
        <v>833.93235932000027</v>
      </c>
      <c r="CK46" s="104">
        <f>+CJ46/$CJ$43</f>
        <v>0.80117599104746717</v>
      </c>
      <c r="CL46" s="66">
        <f>(+CJ46-CG46)/CG46</f>
        <v>-0.56266498513744889</v>
      </c>
    </row>
    <row r="47" spans="2:90" x14ac:dyDescent="0.35">
      <c r="B47" s="1"/>
      <c r="C47" s="1"/>
      <c r="D47" s="1"/>
      <c r="E47" s="16"/>
      <c r="F47" s="1"/>
      <c r="G47" s="16"/>
      <c r="H47" s="1"/>
      <c r="I47" s="16"/>
      <c r="J47" s="16"/>
      <c r="K47" s="1"/>
      <c r="L47" s="16"/>
      <c r="M47" s="16"/>
      <c r="N47" s="1"/>
      <c r="O47" s="16"/>
      <c r="P47" s="16"/>
      <c r="Q47" s="1"/>
      <c r="R47" s="16"/>
      <c r="S47" s="16"/>
      <c r="T47" s="1"/>
      <c r="U47" s="16"/>
      <c r="V47" s="1"/>
      <c r="W47" s="16"/>
      <c r="X47" s="1"/>
      <c r="Y47" s="16"/>
      <c r="Z47" s="1"/>
      <c r="AA47" s="16"/>
      <c r="AB47" s="1"/>
      <c r="AC47" s="16"/>
      <c r="AD47" s="1"/>
      <c r="AE47" s="16"/>
      <c r="AF47" s="1"/>
      <c r="AG47" s="16"/>
      <c r="AH47" s="1"/>
      <c r="AI47" s="16"/>
      <c r="AJ47" s="15"/>
      <c r="AK47" s="2"/>
      <c r="AL47" s="15"/>
      <c r="AM47" s="64"/>
      <c r="AN47" s="15"/>
      <c r="AO47" s="64"/>
      <c r="AP47" s="15"/>
      <c r="AQ47" s="65"/>
      <c r="AR47" s="15"/>
      <c r="AS47" s="65"/>
      <c r="AT47" s="15"/>
      <c r="AU47" s="65"/>
      <c r="AV47" s="15"/>
      <c r="AW47" s="65"/>
      <c r="AX47" s="15"/>
      <c r="AY47" s="65"/>
      <c r="AZ47" s="15"/>
      <c r="BA47" s="65"/>
      <c r="BB47" s="66"/>
      <c r="BC47" s="15"/>
      <c r="BD47" s="70"/>
      <c r="BE47" s="75"/>
      <c r="BF47" s="76"/>
      <c r="BG47" s="70"/>
      <c r="BH47" s="75"/>
      <c r="BI47" s="76"/>
      <c r="BJ47" s="70"/>
      <c r="BK47" s="75"/>
      <c r="BL47" s="76"/>
      <c r="BM47" s="70"/>
      <c r="BN47" s="75"/>
      <c r="BO47" s="75"/>
      <c r="BP47" s="70"/>
      <c r="BQ47" s="75"/>
      <c r="BR47" s="76"/>
      <c r="BS47" s="70"/>
      <c r="BT47" s="66"/>
      <c r="BU47" s="76"/>
      <c r="BV47" s="70"/>
      <c r="BW47" s="66"/>
      <c r="BX47" s="76"/>
      <c r="BY47" s="70"/>
      <c r="BZ47" s="66"/>
      <c r="CA47" s="76"/>
      <c r="CB47" s="70"/>
      <c r="CC47" s="66"/>
      <c r="CD47" s="76"/>
      <c r="CE47" s="77"/>
      <c r="CF47" s="66"/>
      <c r="CG47" s="76"/>
      <c r="CH47" s="77"/>
      <c r="CI47" s="66"/>
      <c r="CJ47" s="76"/>
      <c r="CK47" s="77"/>
      <c r="CL47" s="66"/>
    </row>
    <row r="48" spans="2:90" x14ac:dyDescent="0.35">
      <c r="B48" s="100" t="s">
        <v>7</v>
      </c>
      <c r="C48" s="100"/>
      <c r="D48" s="15">
        <f>+D49+D50+D51</f>
        <v>5364.7546936081435</v>
      </c>
      <c r="E48" s="16">
        <v>0.97134008345375333</v>
      </c>
      <c r="F48" s="15">
        <f>+F49+F50+F51</f>
        <v>5581.7512989900006</v>
      </c>
      <c r="G48" s="16">
        <v>0.96308160142139376</v>
      </c>
      <c r="H48" s="15">
        <f>+H49+H50+H51</f>
        <v>5601.1119999999992</v>
      </c>
      <c r="I48" s="16">
        <v>0.96884434627233296</v>
      </c>
      <c r="J48" s="16">
        <f t="shared" si="135"/>
        <v>3.4685710582450795E-3</v>
      </c>
      <c r="K48" s="15">
        <f>+K49+K50+K51</f>
        <v>5650.8352939873112</v>
      </c>
      <c r="L48" s="16">
        <v>0.97049595984248571</v>
      </c>
      <c r="M48" s="16">
        <f t="shared" si="136"/>
        <v>8.8773968432182757E-3</v>
      </c>
      <c r="N48" s="15">
        <f>+N49+N50+N51</f>
        <v>5690.6071071240603</v>
      </c>
      <c r="O48" s="16">
        <v>0.9732277893788186</v>
      </c>
      <c r="P48" s="16">
        <f>(+N48-H48)/H48</f>
        <v>1.5978096335881372E-2</v>
      </c>
      <c r="Q48" s="15">
        <f>+Q49+Q50+Q51</f>
        <v>5755.7066487850843</v>
      </c>
      <c r="R48" s="16">
        <v>0.9732210816851562</v>
      </c>
      <c r="S48" s="16">
        <f>(+Q48-K48)/K48</f>
        <v>1.8558558043509071E-2</v>
      </c>
      <c r="T48" s="15">
        <f>+T49+T50+T51</f>
        <v>5754.7885150540424</v>
      </c>
      <c r="U48" s="16">
        <f t="shared" ref="U48" si="153">+T48/$T$54</f>
        <v>0.97252997519194828</v>
      </c>
      <c r="V48" s="15">
        <f>+V49+V50+V51</f>
        <v>5735.542941856278</v>
      </c>
      <c r="W48" s="16">
        <f>+V48/$V$54</f>
        <v>0.97246531486531618</v>
      </c>
      <c r="X48" s="15">
        <f>+X49+X50+X51</f>
        <v>5732.0154321884456</v>
      </c>
      <c r="Y48" s="16">
        <f>+V48/$X$54</f>
        <v>0.97361614380768779</v>
      </c>
      <c r="Z48" s="15">
        <f>+Z49+Z50+Z51</f>
        <v>5984.3429937999963</v>
      </c>
      <c r="AA48" s="16">
        <f>+Z48/$Z$54</f>
        <v>0.97425166930396789</v>
      </c>
      <c r="AB48" s="15">
        <f>+AB49+AB50+AB51</f>
        <v>5987.5826825120103</v>
      </c>
      <c r="AC48" s="16">
        <f>+AB48/$AV$54</f>
        <v>0.58631750206008915</v>
      </c>
      <c r="AD48" s="15">
        <f>+AD49+AD50+AD51</f>
        <v>5990.6512071051502</v>
      </c>
      <c r="AE48" s="16">
        <f>+AD48/$AD$54</f>
        <v>0.97489201765745925</v>
      </c>
      <c r="AF48" s="15">
        <f>+AF49+AF50+AF51</f>
        <v>5993.0034437765025</v>
      </c>
      <c r="AG48" s="16">
        <f>+AF48/$AF$54</f>
        <v>0.96842371691804718</v>
      </c>
      <c r="AH48" s="15">
        <f>+AH49+AH50+AH51</f>
        <v>7716.4072875475831</v>
      </c>
      <c r="AI48" s="16">
        <f>+AH48/$AV$54</f>
        <v>0.7556078781053378</v>
      </c>
      <c r="AJ48" s="15">
        <f>+AJ49+AJ50+AJ51</f>
        <v>7694.1795507198613</v>
      </c>
      <c r="AK48" s="2">
        <f>+AJ48/$AJ$54</f>
        <v>0.95450572603948636</v>
      </c>
      <c r="AL48" s="15">
        <f>+AL49+AL50+AL51</f>
        <v>8249.0777528939107</v>
      </c>
      <c r="AM48" s="64">
        <f>+AL48/$AL$54</f>
        <v>0.92771935965563279</v>
      </c>
      <c r="AN48" s="15">
        <f>+AN49+AN50+AN51</f>
        <v>8790.9831619492616</v>
      </c>
      <c r="AO48" s="64">
        <f>+AN48/$AN$54</f>
        <v>0.94363679225334951</v>
      </c>
      <c r="AP48" s="15">
        <f>+AP49+AP50+AP51</f>
        <v>8858.6957629793887</v>
      </c>
      <c r="AQ48" s="65">
        <f>+AP48/$AP$54</f>
        <v>0.94674257358007619</v>
      </c>
      <c r="AR48" s="15">
        <f>+AR49+AR50+AR51</f>
        <v>9089.3046282925152</v>
      </c>
      <c r="AS48" s="65">
        <f>+AR48/$AR$54</f>
        <v>0.94789036838343699</v>
      </c>
      <c r="AT48" s="15">
        <f>+AT49+AT50+AT51</f>
        <v>9514.4159932081693</v>
      </c>
      <c r="AU48" s="65">
        <f>+AT48/$AT$54</f>
        <v>0.95701224349169622</v>
      </c>
      <c r="AV48" s="15">
        <f>+AV49+AV50+AV51</f>
        <v>9656.439013889978</v>
      </c>
      <c r="AW48" s="65">
        <f>+AV48/$AV$54</f>
        <v>0.94558012834726402</v>
      </c>
      <c r="AX48" s="15">
        <f>+AX49+AX50+AX51</f>
        <v>9807.1430374649644</v>
      </c>
      <c r="AY48" s="65">
        <f>+AX48/$AX$54</f>
        <v>0.92975210413375564</v>
      </c>
      <c r="AZ48" s="15">
        <f>+AZ49+AZ50+AZ51</f>
        <v>9894.9404841210871</v>
      </c>
      <c r="BA48" s="65">
        <f>+AZ48/$AZ$54</f>
        <v>0.89229185200984895</v>
      </c>
      <c r="BB48" s="66">
        <f t="shared" si="1"/>
        <v>8.9523978920998133E-3</v>
      </c>
      <c r="BC48" s="15">
        <f>+BC49+BC50+BC51</f>
        <v>10207.119852859028</v>
      </c>
      <c r="BD48" s="70">
        <f>+BC48/$BC$54</f>
        <v>0.84468530634187911</v>
      </c>
      <c r="BE48" s="75">
        <f t="shared" si="2"/>
        <v>3.1549393272138564E-2</v>
      </c>
      <c r="BF48" s="76">
        <f>+BF49+BF50+BF51</f>
        <v>9264.6087308781098</v>
      </c>
      <c r="BG48" s="70">
        <f>+BF48/$BF$54</f>
        <v>0.7967137735872365</v>
      </c>
      <c r="BH48" s="75">
        <f t="shared" ref="BH48:BH51" si="154">(+BF48-BC48)/BC48</f>
        <v>-9.2338596545128257E-2</v>
      </c>
      <c r="BI48" s="76">
        <f>+BI49+BI50+BI51</f>
        <v>10355.957478444914</v>
      </c>
      <c r="BJ48" s="70">
        <f>+BI48/$BI$54</f>
        <v>0.85843995629210379</v>
      </c>
      <c r="BK48" s="75">
        <f t="shared" ref="BK48:BK51" si="155">(+BI48-BF48)/BF48</f>
        <v>0.11779760800145148</v>
      </c>
      <c r="BL48" s="76">
        <f>+BL49+BL50+BL51</f>
        <v>9858.7122233590308</v>
      </c>
      <c r="BM48" s="70">
        <f>+BL48/$BL$54</f>
        <v>0.88945982085635023</v>
      </c>
      <c r="BN48" s="75">
        <f t="shared" ref="BN48:BN51" si="156">(+BL48-BI48)/BI48</f>
        <v>-4.8015382075569456E-2</v>
      </c>
      <c r="BO48" s="76">
        <f>+BO49+BO50+BO51</f>
        <v>10209.265042624935</v>
      </c>
      <c r="BP48" s="70">
        <f>+BO48/$BO$54</f>
        <v>0.81131205807709983</v>
      </c>
      <c r="BQ48" s="75">
        <f t="shared" ref="BQ48:BQ51" si="157">(+BO48-BL48)/BL48</f>
        <v>3.5557668316487753E-2</v>
      </c>
      <c r="BR48" s="76">
        <f>+BR49+BR50+BR51</f>
        <v>10528.906916037744</v>
      </c>
      <c r="BS48" s="70">
        <f>+BR48/$BR$54</f>
        <v>0.82229084581549561</v>
      </c>
      <c r="BT48" s="66">
        <f t="shared" si="7"/>
        <v>3.1308999431228904E-2</v>
      </c>
      <c r="BU48" s="76">
        <f>+BU49+BU50+BU51</f>
        <v>12278.194714287427</v>
      </c>
      <c r="BV48" s="70">
        <f>+BU48/$BU$54</f>
        <v>0.85299020495500866</v>
      </c>
      <c r="BW48" s="66">
        <f t="shared" ref="BW48:BW51" si="158">(+BU48-BR48)/BR48</f>
        <v>0.16614144395038283</v>
      </c>
      <c r="BX48" s="76">
        <f>+BX49+BX50+BX51</f>
        <v>13006.825728890622</v>
      </c>
      <c r="BY48" s="70">
        <f>+BX48/$BX$54</f>
        <v>0.8653386896820715</v>
      </c>
      <c r="BZ48" s="66">
        <f t="shared" ref="BZ48:BZ49" si="159">(+BX48-BU48)/BU48</f>
        <v>5.9343497277765903E-2</v>
      </c>
      <c r="CA48" s="76">
        <f>+CA49+CA50+CA51</f>
        <v>14017.358898064966</v>
      </c>
      <c r="CB48" s="70">
        <f>+CA48/$CA$54</f>
        <v>0.90314392064927185</v>
      </c>
      <c r="CC48" s="66">
        <f t="shared" ref="CC48:CC49" si="160">(+CA48-BX48)/BX48</f>
        <v>7.7692527772533895E-2</v>
      </c>
      <c r="CD48" s="76">
        <f>+CD49+CD50+CD51</f>
        <v>13485.837278197583</v>
      </c>
      <c r="CE48" s="77">
        <f>+CD48/$CD$54</f>
        <v>0.8697728170303195</v>
      </c>
      <c r="CF48" s="66">
        <f>(+CD48-CA48)/CA48</f>
        <v>-3.7918813646182423E-2</v>
      </c>
      <c r="CG48" s="76">
        <f>+CG49+CG50+CG51</f>
        <v>13164.525965902732</v>
      </c>
      <c r="CH48" s="77">
        <f>+CG48/$CG$54</f>
        <v>0.86137781217829257</v>
      </c>
      <c r="CI48" s="66">
        <f>(+CG48-CD48)/CD48</f>
        <v>-2.3825833403337254E-2</v>
      </c>
      <c r="CJ48" s="76">
        <f>+CJ49+CJ50+CJ51</f>
        <v>14245.297159912554</v>
      </c>
      <c r="CK48" s="104">
        <f>+CJ48/$CJ$54</f>
        <v>0.93190678195747079</v>
      </c>
      <c r="CL48" s="66">
        <f>(+CJ48-CG48)/CG48</f>
        <v>8.2097235920922107E-2</v>
      </c>
    </row>
    <row r="49" spans="2:90" x14ac:dyDescent="0.35">
      <c r="B49" s="29" t="s">
        <v>23</v>
      </c>
      <c r="C49" s="13"/>
      <c r="D49" s="15">
        <v>4091.712</v>
      </c>
      <c r="E49" s="16">
        <v>0.76270253416714195</v>
      </c>
      <c r="F49" s="15">
        <v>4036.0312989899999</v>
      </c>
      <c r="G49" s="16">
        <v>0.72307616065235769</v>
      </c>
      <c r="H49" s="15">
        <v>4069.8820000000001</v>
      </c>
      <c r="I49" s="16">
        <v>0.72662035681486115</v>
      </c>
      <c r="J49" s="16">
        <f t="shared" si="135"/>
        <v>8.3871254958977123E-3</v>
      </c>
      <c r="K49" s="15">
        <v>4078.2089999999998</v>
      </c>
      <c r="L49" s="16">
        <v>0.72170020675339075</v>
      </c>
      <c r="M49" s="16">
        <f t="shared" si="136"/>
        <v>2.0460052650174551E-3</v>
      </c>
      <c r="N49" s="15">
        <v>4093.4589171240605</v>
      </c>
      <c r="O49" s="16">
        <v>0.71933606380933712</v>
      </c>
      <c r="P49" s="16">
        <f>(+N49-H49)/H49</f>
        <v>5.7930222851818314E-3</v>
      </c>
      <c r="Q49" s="15">
        <v>4091.6273536480153</v>
      </c>
      <c r="R49" s="16">
        <v>0.71088184358938389</v>
      </c>
      <c r="S49" s="16">
        <f t="shared" ref="S49" si="161">(+Q49-K49)/K49</f>
        <v>3.2902564944600572E-3</v>
      </c>
      <c r="T49" s="15">
        <v>4087.4505801300106</v>
      </c>
      <c r="U49" s="16">
        <f>+T49/$T$48</f>
        <v>0.71026946853695561</v>
      </c>
      <c r="V49" s="15">
        <v>4087.60205473</v>
      </c>
      <c r="W49" s="16">
        <f>+V49/$V$48</f>
        <v>0.71267918245366135</v>
      </c>
      <c r="X49" s="15">
        <v>4091.0459999999998</v>
      </c>
      <c r="Y49" s="16">
        <f>+V49/$X$48</f>
        <v>0.71311776862564735</v>
      </c>
      <c r="Z49" s="15">
        <v>4091.8408227999967</v>
      </c>
      <c r="AA49" s="16">
        <f>+Z49/$Z$48</f>
        <v>0.68375773698788611</v>
      </c>
      <c r="AB49" s="15">
        <v>4092.6869999999999</v>
      </c>
      <c r="AC49" s="16">
        <f>+AB49/$AV$48</f>
        <v>0.42382983976940286</v>
      </c>
      <c r="AD49" s="15">
        <v>4095.7130000000002</v>
      </c>
      <c r="AE49" s="16">
        <f>+AD49/$AD$48</f>
        <v>0.68368410351487696</v>
      </c>
      <c r="AF49" s="15">
        <v>4054.5929999999998</v>
      </c>
      <c r="AG49" s="16">
        <f t="shared" ref="AG49" si="162">+AF49/$AF$48</f>
        <v>0.67655442517900344</v>
      </c>
      <c r="AH49" s="15">
        <v>5383.2749999999996</v>
      </c>
      <c r="AI49" s="16">
        <f>+AH49/$AV$48</f>
        <v>0.557480349873966</v>
      </c>
      <c r="AJ49" s="15">
        <v>5383.2749999999996</v>
      </c>
      <c r="AK49" s="2">
        <f>+AJ49/$AJ$48</f>
        <v>0.6996554947169572</v>
      </c>
      <c r="AL49" s="15">
        <v>5107.2963461159507</v>
      </c>
      <c r="AM49" s="64">
        <f>+AL49/$AL$48</f>
        <v>0.61913543539145666</v>
      </c>
      <c r="AN49" s="15">
        <v>4974.916605285116</v>
      </c>
      <c r="AO49" s="64">
        <f>+AN49/$AN$48</f>
        <v>0.56591128815016489</v>
      </c>
      <c r="AP49" s="15">
        <v>5001.6688264167715</v>
      </c>
      <c r="AQ49" s="65">
        <f>+AP49/$AP$48</f>
        <v>0.56460555371128263</v>
      </c>
      <c r="AR49" s="15">
        <v>5000.3216282925159</v>
      </c>
      <c r="AS49" s="65">
        <f>+AR49/$AR$48</f>
        <v>0.55013247248066532</v>
      </c>
      <c r="AT49" s="15">
        <v>5072.6246964798702</v>
      </c>
      <c r="AU49" s="65">
        <f>+AT49/$AT$48</f>
        <v>0.53315145145019349</v>
      </c>
      <c r="AV49" s="15">
        <v>4944.254213889978</v>
      </c>
      <c r="AW49" s="65">
        <f>+AV49/$AV$48</f>
        <v>0.51201630402036225</v>
      </c>
      <c r="AX49" s="15">
        <v>4759.0162907100112</v>
      </c>
      <c r="AY49" s="65">
        <f>+AX49/$AX$48</f>
        <v>0.48526021008664344</v>
      </c>
      <c r="AZ49" s="15">
        <v>4305.5861861599888</v>
      </c>
      <c r="BA49" s="65">
        <f>+AZ49/$AZ$48</f>
        <v>0.43513007410902382</v>
      </c>
      <c r="BB49" s="66">
        <f t="shared" si="1"/>
        <v>-9.527811565494218E-2</v>
      </c>
      <c r="BC49" s="15">
        <v>3623.1877941098205</v>
      </c>
      <c r="BD49" s="70">
        <f>+BC49/$BC$48</f>
        <v>0.35496671405254054</v>
      </c>
      <c r="BE49" s="75">
        <f t="shared" si="2"/>
        <v>-0.15849140222618027</v>
      </c>
      <c r="BF49" s="76">
        <v>3136.0803458800347</v>
      </c>
      <c r="BG49" s="70">
        <f>+BF49/$BF$48</f>
        <v>0.33850111072988548</v>
      </c>
      <c r="BH49" s="75">
        <f t="shared" si="154"/>
        <v>-0.13444167840862994</v>
      </c>
      <c r="BI49" s="76">
        <v>3792.26286295213</v>
      </c>
      <c r="BJ49" s="70">
        <f>+BI49/$BI$48</f>
        <v>0.36619142854201725</v>
      </c>
      <c r="BK49" s="75">
        <f t="shared" si="155"/>
        <v>0.2092365133227988</v>
      </c>
      <c r="BL49" s="76">
        <v>3274.7801646098196</v>
      </c>
      <c r="BM49" s="70">
        <f>+BL49/$BL$48</f>
        <v>0.33217118934160816</v>
      </c>
      <c r="BN49" s="75">
        <f t="shared" si="156"/>
        <v>-0.13645749702579166</v>
      </c>
      <c r="BO49" s="15">
        <v>3625.6174301099991</v>
      </c>
      <c r="BP49" s="70">
        <f>+BO49/$BO$48</f>
        <v>0.35513011122471611</v>
      </c>
      <c r="BQ49" s="75">
        <f t="shared" si="157"/>
        <v>0.1071330739362716</v>
      </c>
      <c r="BR49" s="76">
        <v>3724.5482519255997</v>
      </c>
      <c r="BS49" s="70">
        <f>+BR49/$BR$48</f>
        <v>0.35374500711487228</v>
      </c>
      <c r="BT49" s="66">
        <f t="shared" si="7"/>
        <v>2.7286613583110218E-2</v>
      </c>
      <c r="BU49" s="76">
        <v>5383.8972851217004</v>
      </c>
      <c r="BV49" s="70">
        <f>+BU49/$BU$48</f>
        <v>0.43849258057919294</v>
      </c>
      <c r="BW49" s="66">
        <f t="shared" si="158"/>
        <v>0.44551685760500309</v>
      </c>
      <c r="BX49" s="76">
        <v>5475.9183119699992</v>
      </c>
      <c r="BY49" s="70">
        <f>+BX49/$BX$48</f>
        <v>0.42100343512767668</v>
      </c>
      <c r="BZ49" s="66">
        <f t="shared" si="159"/>
        <v>1.7091898670243428E-2</v>
      </c>
      <c r="CA49" s="84">
        <v>5996.7330292800007</v>
      </c>
      <c r="CB49" s="70">
        <f>+CA49/$CA$48</f>
        <v>0.42780762573667308</v>
      </c>
      <c r="CC49" s="66">
        <f t="shared" si="160"/>
        <v>9.5110023130099391E-2</v>
      </c>
      <c r="CD49" s="84">
        <v>5480.8260682100008</v>
      </c>
      <c r="CE49" s="77">
        <f>+CD49/$CD$48</f>
        <v>0.40641348068694239</v>
      </c>
      <c r="CF49" s="66">
        <f t="shared" ref="CF49" si="163">(+CD49-CA49)/CA49</f>
        <v>-8.6031337154914553E-2</v>
      </c>
      <c r="CG49" s="84">
        <v>5381.4228028300004</v>
      </c>
      <c r="CH49" s="77">
        <f>+CG49/$CG$48</f>
        <v>0.408782117697846</v>
      </c>
      <c r="CI49" s="66">
        <f t="shared" ref="CI49" si="164">(+CG49-CD49)/CD49</f>
        <v>-1.8136548057337797E-2</v>
      </c>
      <c r="CJ49" s="84">
        <v>6459.114640679999</v>
      </c>
      <c r="CK49" s="104">
        <f>+CJ49/$CJ$48</f>
        <v>0.45342084255402426</v>
      </c>
      <c r="CL49" s="66">
        <f t="shared" ref="CL49" si="165">(+CJ49-CG49)/CG49</f>
        <v>0.20026150654493427</v>
      </c>
    </row>
    <row r="50" spans="2:90" x14ac:dyDescent="0.35">
      <c r="B50" s="29" t="s">
        <v>35</v>
      </c>
      <c r="C50" s="13"/>
      <c r="D50" s="15">
        <v>91.072476072763394</v>
      </c>
      <c r="E50" s="16">
        <v>1.6976074634180764E-2</v>
      </c>
      <c r="F50" s="15">
        <v>163.82</v>
      </c>
      <c r="G50" s="16">
        <v>2.9349211604903048E-2</v>
      </c>
      <c r="H50" s="15">
        <v>167.13</v>
      </c>
      <c r="I50" s="16">
        <v>2.9838717740334423E-2</v>
      </c>
      <c r="J50" s="16">
        <f t="shared" si="135"/>
        <v>2.0205103162007097E-2</v>
      </c>
      <c r="K50" s="15">
        <v>170.34961282180501</v>
      </c>
      <c r="L50" s="16">
        <v>3.0145917189103536E-2</v>
      </c>
      <c r="M50" s="16">
        <f t="shared" si="136"/>
        <v>1.9264122669808023E-2</v>
      </c>
      <c r="N50" s="15">
        <v>172.65818999999999</v>
      </c>
      <c r="O50" s="16">
        <v>3.0340908579657436E-2</v>
      </c>
      <c r="P50" s="16">
        <f>(+N50-H50)/H50</f>
        <v>3.3077185424519803E-2</v>
      </c>
      <c r="Q50" s="15">
        <v>179.15138917729888</v>
      </c>
      <c r="R50" s="16">
        <v>3.1125872131637249E-2</v>
      </c>
      <c r="S50" s="16">
        <f>(+Q50-K50)/K50</f>
        <v>5.1668895571256798E-2</v>
      </c>
      <c r="T50" s="15">
        <v>184.92497251498571</v>
      </c>
      <c r="U50" s="16">
        <f t="shared" ref="U50:U51" si="166">+T50/$T$48</f>
        <v>3.2134103978145777E-2</v>
      </c>
      <c r="V50" s="15">
        <v>176.286374485804</v>
      </c>
      <c r="W50" s="16">
        <f t="shared" ref="W50:W51" si="167">+V50/$V$48</f>
        <v>3.0735777985257288E-2</v>
      </c>
      <c r="X50" s="15">
        <v>175.62497249457959</v>
      </c>
      <c r="Y50" s="16">
        <f>+V50/$X$48</f>
        <v>3.075469292979538E-2</v>
      </c>
      <c r="Z50" s="15">
        <v>181.559371</v>
      </c>
      <c r="AA50" s="16">
        <f t="shared" ref="AA50:AA51" si="168">+Z50/$Z$48</f>
        <v>3.0339064988103508E-2</v>
      </c>
      <c r="AB50" s="15">
        <v>184.05502798112025</v>
      </c>
      <c r="AC50" s="16">
        <f>+AB50/$AV$48</f>
        <v>1.906034177986031E-2</v>
      </c>
      <c r="AD50" s="15">
        <v>188.41641471373075</v>
      </c>
      <c r="AE50" s="16">
        <f t="shared" ref="AE50:AE51" si="169">+AD50/$AD$48</f>
        <v>3.1451741755597687E-2</v>
      </c>
      <c r="AF50" s="15">
        <v>182.58593482988522</v>
      </c>
      <c r="AG50" s="16">
        <f>+AF50/$AF$48</f>
        <v>3.0466515920242545E-2</v>
      </c>
      <c r="AH50" s="15">
        <v>224.80938636187253</v>
      </c>
      <c r="AI50" s="16">
        <f>+AH50/$AV$48</f>
        <v>2.328077524628935E-2</v>
      </c>
      <c r="AJ50" s="15">
        <v>221.9263241898673</v>
      </c>
      <c r="AK50" s="2">
        <f>+AJ50/$AJ$48</f>
        <v>2.8843403344948462E-2</v>
      </c>
      <c r="AL50" s="15">
        <v>229.81837124798315</v>
      </c>
      <c r="AM50" s="64">
        <f t="shared" ref="AM50:AM51" si="170">+AL50/$AL$48</f>
        <v>2.7859886660343228E-2</v>
      </c>
      <c r="AN50" s="15">
        <v>408.35831973417237</v>
      </c>
      <c r="AO50" s="64">
        <f t="shared" ref="AO50:AO51" si="171">+AN50/$AN$48</f>
        <v>4.6451951074335279E-2</v>
      </c>
      <c r="AP50" s="15">
        <v>423.19646828157977</v>
      </c>
      <c r="AQ50" s="65">
        <f t="shared" ref="AQ50" si="172">+AP50/$AP$48</f>
        <v>4.7771870668606053E-2</v>
      </c>
      <c r="AR50" s="15">
        <v>420.065</v>
      </c>
      <c r="AS50" s="65">
        <f t="shared" ref="AS50" si="173">+AR50/$AR$48</f>
        <v>4.6215306580489418E-2</v>
      </c>
      <c r="AT50" s="15">
        <v>439.23553243829809</v>
      </c>
      <c r="AU50" s="65">
        <f t="shared" ref="AU50:AU51" si="174">+AT50/$AT$48</f>
        <v>4.61652646627859E-2</v>
      </c>
      <c r="AV50" s="15">
        <v>449.58</v>
      </c>
      <c r="AW50" s="65">
        <f>+AV50/$AV$48</f>
        <v>4.655753527292171E-2</v>
      </c>
      <c r="AX50" s="15">
        <v>457.70032084495568</v>
      </c>
      <c r="AY50" s="65">
        <f>+AX50/$AX$48</f>
        <v>4.6670097407212494E-2</v>
      </c>
      <c r="AZ50" s="15">
        <v>454.86303648106951</v>
      </c>
      <c r="BA50" s="65">
        <f>+AZ50/$AZ$48</f>
        <v>4.5969254409464241E-2</v>
      </c>
      <c r="BB50" s="66">
        <f t="shared" si="1"/>
        <v>-6.1990001637933943E-3</v>
      </c>
      <c r="BC50" s="15">
        <v>610.54593955867097</v>
      </c>
      <c r="BD50" s="70">
        <f t="shared" ref="BD50:BD51" si="175">+BC50/$BC$48</f>
        <v>5.9815692218765926E-2</v>
      </c>
      <c r="BE50" s="75">
        <f t="shared" si="2"/>
        <v>0.34226325419185971</v>
      </c>
      <c r="BF50" s="76">
        <v>453.26773399806484</v>
      </c>
      <c r="BG50" s="70">
        <f>+BF50/$BF$48</f>
        <v>4.8924649401260102E-2</v>
      </c>
      <c r="BH50" s="75">
        <f t="shared" si="154"/>
        <v>-0.25760257397550401</v>
      </c>
      <c r="BI50" s="76">
        <v>578.31158293275735</v>
      </c>
      <c r="BJ50" s="70">
        <f>+BI50/$BI$48</f>
        <v>5.5843371714925059E-2</v>
      </c>
      <c r="BK50" s="75">
        <f t="shared" si="155"/>
        <v>0.2758719395967999</v>
      </c>
      <c r="BL50" s="78">
        <v>610.54593955867097</v>
      </c>
      <c r="BM50" s="70">
        <f>+BL50/$BL$48</f>
        <v>6.1929583268700746E-2</v>
      </c>
      <c r="BN50" s="75">
        <f t="shared" si="156"/>
        <v>5.5738735963830145E-2</v>
      </c>
      <c r="BO50" s="78">
        <v>610.94991379130079</v>
      </c>
      <c r="BP50" s="70">
        <f>+BO50/$BO$48</f>
        <v>5.9842693008802288E-2</v>
      </c>
      <c r="BQ50" s="75">
        <f t="shared" si="157"/>
        <v>6.6166066540681787E-4</v>
      </c>
      <c r="BR50" s="78">
        <v>607.27950623212098</v>
      </c>
      <c r="BS50" s="70">
        <f>+BR50/$BR$48</f>
        <v>5.7677355405916481E-2</v>
      </c>
      <c r="BT50" s="66">
        <f t="shared" si="7"/>
        <v>-6.0077061577810632E-3</v>
      </c>
      <c r="BU50" s="78">
        <v>684.52493715400863</v>
      </c>
      <c r="BV50" s="70">
        <f>+BU50/$BU$48</f>
        <v>5.5751269065432429E-2</v>
      </c>
      <c r="BW50" s="66">
        <f>(+BU50-BR50)/BR50</f>
        <v>0.12719913998277105</v>
      </c>
      <c r="BX50" s="78">
        <v>678.51840613744344</v>
      </c>
      <c r="BY50" s="70">
        <f>+BX50/$BX$48</f>
        <v>5.2166333299163502E-2</v>
      </c>
      <c r="BZ50" s="66">
        <f>(+BX50-BU50)/BU50</f>
        <v>-8.7747438998176403E-3</v>
      </c>
      <c r="CA50" s="84">
        <v>677.82478833087816</v>
      </c>
      <c r="CB50" s="70">
        <f>+CA50/$CA$48</f>
        <v>4.8356098553233799E-2</v>
      </c>
      <c r="CC50" s="66">
        <f>(+CA50-BX50)/BX50</f>
        <v>-1.0222534868490644E-3</v>
      </c>
      <c r="CD50" s="84">
        <v>682.44469831527613</v>
      </c>
      <c r="CE50" s="77">
        <f>+CD50/$CD$48</f>
        <v>5.0604547885104441E-2</v>
      </c>
      <c r="CF50" s="66">
        <f>(+CD50-CA50)/CA50</f>
        <v>6.8157878908122324E-3</v>
      </c>
      <c r="CG50" s="84">
        <v>655.06208204066854</v>
      </c>
      <c r="CH50" s="77">
        <f>+CG50/$CG$48</f>
        <v>4.9759640699356462E-2</v>
      </c>
      <c r="CI50" s="66">
        <f>(+CG50-CD50)/CD50</f>
        <v>-4.0124300682833278E-2</v>
      </c>
      <c r="CJ50" s="84">
        <v>661.44721868789736</v>
      </c>
      <c r="CK50" s="104">
        <f>+CJ50/$CJ$48</f>
        <v>4.6432672569952746E-2</v>
      </c>
      <c r="CL50" s="66">
        <f>(+CJ50-CG50)/CG50</f>
        <v>9.7473763514713818E-3</v>
      </c>
    </row>
    <row r="51" spans="2:90" x14ac:dyDescent="0.35">
      <c r="B51" s="29" t="s">
        <v>36</v>
      </c>
      <c r="C51" s="13"/>
      <c r="D51" s="15">
        <v>1181.97021753538</v>
      </c>
      <c r="E51" s="16">
        <v>0.2203213911986773</v>
      </c>
      <c r="F51" s="15">
        <v>1381.9</v>
      </c>
      <c r="G51" s="16">
        <v>0.24757462774273914</v>
      </c>
      <c r="H51" s="15">
        <v>1364.1</v>
      </c>
      <c r="I51" s="16">
        <v>0.24354092544480455</v>
      </c>
      <c r="J51" s="16">
        <f t="shared" si="135"/>
        <v>-1.2880816267457979E-2</v>
      </c>
      <c r="K51" s="15">
        <v>1402.276681165506</v>
      </c>
      <c r="L51" s="16">
        <v>0.24815387605750572</v>
      </c>
      <c r="M51" s="16">
        <f t="shared" si="136"/>
        <v>2.7986717370798421E-2</v>
      </c>
      <c r="N51" s="15">
        <v>1424.49</v>
      </c>
      <c r="O51" s="16">
        <v>0.25032302761100544</v>
      </c>
      <c r="P51" s="16">
        <f>(+N51-H51)/H51</f>
        <v>4.427094787772165E-2</v>
      </c>
      <c r="Q51" s="15">
        <v>1484.9279059597707</v>
      </c>
      <c r="R51" s="16">
        <v>0.25799228427897897</v>
      </c>
      <c r="S51" s="16">
        <f>(+Q51-K51)/K51</f>
        <v>5.89407396588588E-2</v>
      </c>
      <c r="T51" s="15">
        <v>1482.4129624090451</v>
      </c>
      <c r="U51" s="16">
        <f t="shared" si="166"/>
        <v>0.25759642748489847</v>
      </c>
      <c r="V51" s="15">
        <v>1471.6545126404749</v>
      </c>
      <c r="W51" s="16">
        <f t="shared" si="167"/>
        <v>0.25658503956108147</v>
      </c>
      <c r="X51" s="15">
        <v>1465.3444596938664</v>
      </c>
      <c r="Y51" s="16">
        <f>+V51/$X$48</f>
        <v>0.25674294321964286</v>
      </c>
      <c r="Z51" s="15">
        <v>1710.9428</v>
      </c>
      <c r="AA51" s="16">
        <f t="shared" si="168"/>
        <v>0.28590319802401049</v>
      </c>
      <c r="AB51" s="15">
        <v>1710.8406545308897</v>
      </c>
      <c r="AC51" s="16">
        <f>+AB51/$AV$48</f>
        <v>0.17717096872563362</v>
      </c>
      <c r="AD51" s="15">
        <v>1706.5217923914195</v>
      </c>
      <c r="AE51" s="16">
        <f t="shared" si="169"/>
        <v>0.28486415472952537</v>
      </c>
      <c r="AF51" s="15">
        <v>1755.824508946617</v>
      </c>
      <c r="AG51" s="16">
        <f>+AF51/$AF$48</f>
        <v>0.29297905890075393</v>
      </c>
      <c r="AH51" s="15">
        <v>2108.3229011857115</v>
      </c>
      <c r="AI51" s="16">
        <f>+AH51/$AV$48</f>
        <v>0.21833337301183861</v>
      </c>
      <c r="AJ51" s="15">
        <v>2088.9782265299946</v>
      </c>
      <c r="AK51" s="2">
        <f>+AJ51/$AJ$48</f>
        <v>0.2715011019380944</v>
      </c>
      <c r="AL51" s="15">
        <v>2911.9630355299769</v>
      </c>
      <c r="AM51" s="64">
        <f t="shared" si="170"/>
        <v>0.35300467794820006</v>
      </c>
      <c r="AN51" s="15">
        <v>3407.7082369299733</v>
      </c>
      <c r="AO51" s="64">
        <f t="shared" si="171"/>
        <v>0.38763676077549986</v>
      </c>
      <c r="AP51" s="15">
        <v>3433.8304682810376</v>
      </c>
      <c r="AQ51" s="65">
        <f>+AP51/$AP$48</f>
        <v>0.38762257562011126</v>
      </c>
      <c r="AR51" s="15">
        <v>3668.9180000000001</v>
      </c>
      <c r="AS51" s="65">
        <f>+AR51/$AR$48</f>
        <v>0.4036522209388454</v>
      </c>
      <c r="AT51" s="15">
        <v>4002.5557642900017</v>
      </c>
      <c r="AU51" s="65">
        <f t="shared" si="174"/>
        <v>0.42068328388702064</v>
      </c>
      <c r="AV51" s="15">
        <v>4262.6048000000001</v>
      </c>
      <c r="AW51" s="65">
        <f>+AV51/$AV$48</f>
        <v>0.44142616070671603</v>
      </c>
      <c r="AX51" s="15">
        <v>4590.4264259099982</v>
      </c>
      <c r="AY51" s="65">
        <f>+AX51/$AX$48</f>
        <v>0.46806969250614411</v>
      </c>
      <c r="AZ51" s="15">
        <v>5134.4912614800287</v>
      </c>
      <c r="BA51" s="65">
        <f>+AZ51/$AZ$48</f>
        <v>0.51890067148151187</v>
      </c>
      <c r="BB51" s="66">
        <f t="shared" si="1"/>
        <v>0.11852163287034406</v>
      </c>
      <c r="BC51" s="15">
        <v>5973.386119190538</v>
      </c>
      <c r="BD51" s="70">
        <f t="shared" si="175"/>
        <v>0.58521759372869364</v>
      </c>
      <c r="BE51" s="75">
        <f t="shared" si="2"/>
        <v>0.16338422153019616</v>
      </c>
      <c r="BF51" s="76">
        <v>5675.2606510000114</v>
      </c>
      <c r="BG51" s="70">
        <f>+BF51/$BF$48</f>
        <v>0.61257423986885451</v>
      </c>
      <c r="BH51" s="75">
        <f t="shared" si="154"/>
        <v>-4.9908956535179745E-2</v>
      </c>
      <c r="BI51" s="76">
        <v>5985.3830325600256</v>
      </c>
      <c r="BJ51" s="70">
        <f>+BI51/$BI$48</f>
        <v>0.5779651997430576</v>
      </c>
      <c r="BK51" s="75">
        <f t="shared" si="155"/>
        <v>5.4644605883496997E-2</v>
      </c>
      <c r="BL51" s="78">
        <v>5973.3861191905398</v>
      </c>
      <c r="BM51" s="70">
        <f>+BL51/$BL$48</f>
        <v>0.60589922738969104</v>
      </c>
      <c r="BN51" s="75">
        <f t="shared" si="156"/>
        <v>-2.0043685264958849E-3</v>
      </c>
      <c r="BO51" s="15">
        <v>5972.6976987236349</v>
      </c>
      <c r="BP51" s="70">
        <f>+BO51/$BO$48</f>
        <v>0.58502719576648166</v>
      </c>
      <c r="BQ51" s="75">
        <f t="shared" si="157"/>
        <v>-1.1524794365683176E-4</v>
      </c>
      <c r="BR51" s="78">
        <v>6197.0791578800236</v>
      </c>
      <c r="BS51" s="70">
        <f>+BR51/$BR$48</f>
        <v>0.58857763747921121</v>
      </c>
      <c r="BT51" s="66">
        <f t="shared" si="7"/>
        <v>3.7567858022404012E-2</v>
      </c>
      <c r="BU51" s="78">
        <v>6209.7724920117189</v>
      </c>
      <c r="BV51" s="70">
        <f>+BU51/$BU$48</f>
        <v>0.50575615035537469</v>
      </c>
      <c r="BW51" s="66">
        <f t="shared" si="158"/>
        <v>2.0482769072837914E-3</v>
      </c>
      <c r="BX51" s="78">
        <v>6852.3890107831794</v>
      </c>
      <c r="BY51" s="70">
        <f>+BX51/$BX$48</f>
        <v>0.52683023157315978</v>
      </c>
      <c r="BZ51" s="66">
        <f t="shared" ref="BZ51" si="176">(+BX51-BU51)/BU51</f>
        <v>0.10348471213689801</v>
      </c>
      <c r="CA51" s="84">
        <v>7342.8010804540854</v>
      </c>
      <c r="CB51" s="70">
        <f>+CA51/$CA$48</f>
        <v>0.52383627571009306</v>
      </c>
      <c r="CC51" s="66">
        <f t="shared" ref="CC51" si="177">(+CA51-BX51)/BX51</f>
        <v>7.156804275110111E-2</v>
      </c>
      <c r="CD51" s="84">
        <v>7322.5665116723067</v>
      </c>
      <c r="CE51" s="77">
        <f>+CD51/$CD$48</f>
        <v>0.54298197142795324</v>
      </c>
      <c r="CF51" s="66">
        <f t="shared" ref="CF51" si="178">(+CD51-CA51)/CA51</f>
        <v>-2.7557016130590095E-3</v>
      </c>
      <c r="CG51" s="84">
        <v>7128.0410810320636</v>
      </c>
      <c r="CH51" s="77">
        <f>+CG51/$CG$48</f>
        <v>0.54145824160279754</v>
      </c>
      <c r="CI51" s="66">
        <f t="shared" ref="CI51" si="179">(+CG51-CD51)/CD51</f>
        <v>-2.6565198189755723E-2</v>
      </c>
      <c r="CJ51" s="84">
        <v>7124.7353005446575</v>
      </c>
      <c r="CK51" s="104">
        <f>+CJ51/$CJ$48</f>
        <v>0.50014648487602298</v>
      </c>
      <c r="CL51" s="66">
        <f t="shared" ref="CL51" si="180">(+CJ51-CG51)/CG51</f>
        <v>-4.6377124511850327E-4</v>
      </c>
    </row>
    <row r="52" spans="2:90" x14ac:dyDescent="0.35">
      <c r="B52" s="13"/>
      <c r="C52" s="13"/>
      <c r="D52" s="15"/>
      <c r="E52" s="16"/>
      <c r="F52" s="15"/>
      <c r="G52" s="16"/>
      <c r="H52" s="15"/>
      <c r="I52" s="16"/>
      <c r="J52" s="16"/>
      <c r="K52" s="15"/>
      <c r="L52" s="16"/>
      <c r="M52" s="16"/>
      <c r="N52" s="15"/>
      <c r="O52" s="16"/>
      <c r="P52" s="16"/>
      <c r="Q52" s="15"/>
      <c r="R52" s="16"/>
      <c r="S52" s="16"/>
      <c r="T52" s="15"/>
      <c r="U52" s="16"/>
      <c r="V52" s="15"/>
      <c r="W52" s="16"/>
      <c r="X52" s="15"/>
      <c r="Y52" s="16"/>
      <c r="Z52" s="15"/>
      <c r="AA52" s="16"/>
      <c r="AB52" s="15"/>
      <c r="AC52" s="16"/>
      <c r="AD52" s="15"/>
      <c r="AE52" s="16"/>
      <c r="AF52" s="15"/>
      <c r="AG52" s="16"/>
      <c r="AH52" s="15"/>
      <c r="AI52" s="16"/>
      <c r="AJ52" s="15"/>
      <c r="AK52" s="2"/>
      <c r="AL52" s="15"/>
      <c r="AM52" s="64"/>
      <c r="AN52" s="15"/>
      <c r="AO52" s="64"/>
      <c r="AP52" s="15"/>
      <c r="AQ52" s="65"/>
      <c r="AR52" s="15"/>
      <c r="AS52" s="65"/>
      <c r="AT52" s="15"/>
      <c r="AU52" s="65"/>
      <c r="AV52" s="15"/>
      <c r="AW52" s="65"/>
      <c r="AX52" s="15"/>
      <c r="AY52" s="65"/>
      <c r="AZ52" s="15"/>
      <c r="BA52" s="65"/>
      <c r="BB52" s="66"/>
      <c r="BC52" s="15"/>
      <c r="BD52" s="65"/>
      <c r="BE52" s="66"/>
      <c r="BF52" s="15"/>
      <c r="BG52" s="65"/>
      <c r="BH52" s="66"/>
      <c r="BI52" s="15"/>
      <c r="BJ52" s="65"/>
      <c r="BK52" s="66"/>
      <c r="BL52" s="15"/>
      <c r="BM52" s="65"/>
      <c r="BN52" s="66"/>
      <c r="BO52" s="66"/>
      <c r="BP52" s="65"/>
      <c r="BQ52" s="66"/>
      <c r="BR52" s="15"/>
      <c r="BS52" s="65"/>
      <c r="BT52" s="66"/>
      <c r="BU52" s="15"/>
      <c r="BV52" s="65"/>
      <c r="BW52" s="66"/>
      <c r="BX52" s="15"/>
      <c r="BY52" s="65"/>
      <c r="BZ52" s="66"/>
      <c r="CA52" s="15"/>
      <c r="CB52" s="65"/>
      <c r="CC52" s="66"/>
      <c r="CD52" s="15"/>
      <c r="CE52" s="65"/>
      <c r="CF52" s="66"/>
      <c r="CG52" s="15"/>
      <c r="CH52" s="65"/>
      <c r="CI52" s="66"/>
      <c r="CJ52" s="15"/>
      <c r="CK52" s="65"/>
      <c r="CL52" s="66"/>
    </row>
    <row r="53" spans="2:90" x14ac:dyDescent="0.35">
      <c r="B53" s="1"/>
      <c r="C53" s="1"/>
      <c r="D53" s="1"/>
      <c r="E53" s="39"/>
      <c r="F53" s="1"/>
      <c r="G53" s="39"/>
      <c r="H53" s="1"/>
      <c r="I53" s="39"/>
      <c r="J53" s="39"/>
      <c r="K53" s="1"/>
      <c r="L53" s="39"/>
      <c r="M53" s="39"/>
      <c r="N53" s="1"/>
      <c r="O53" s="39"/>
      <c r="P53" s="39"/>
      <c r="Q53" s="1"/>
      <c r="R53" s="39"/>
      <c r="S53" s="39"/>
      <c r="T53" s="1"/>
      <c r="U53" s="39"/>
      <c r="V53" s="1"/>
      <c r="W53" s="39"/>
      <c r="X53" s="1"/>
      <c r="Y53" s="39"/>
      <c r="Z53" s="1"/>
      <c r="AA53" s="39"/>
      <c r="AB53" s="1"/>
      <c r="AC53" s="39"/>
      <c r="AD53" s="1"/>
      <c r="AE53" s="39"/>
      <c r="AF53" s="1"/>
      <c r="AG53" s="39"/>
      <c r="AH53" s="1"/>
      <c r="AI53" s="39"/>
      <c r="AJ53" s="15"/>
      <c r="AK53" s="2"/>
      <c r="AL53" s="15"/>
      <c r="AM53" s="64"/>
      <c r="AN53" s="15"/>
      <c r="AO53" s="64"/>
      <c r="AP53" s="15"/>
      <c r="AQ53" s="65"/>
      <c r="AR53" s="15"/>
      <c r="AS53" s="65"/>
      <c r="AT53" s="15"/>
      <c r="AU53" s="65"/>
      <c r="AV53" s="15"/>
      <c r="AW53" s="65"/>
      <c r="AX53" s="15"/>
      <c r="AY53" s="65"/>
      <c r="AZ53" s="15"/>
      <c r="BA53" s="65"/>
      <c r="BB53" s="66"/>
      <c r="BC53" s="15"/>
      <c r="BD53" s="65"/>
      <c r="BE53" s="66"/>
      <c r="BF53" s="15"/>
      <c r="BG53" s="65"/>
      <c r="BH53" s="66"/>
      <c r="BI53" s="15"/>
      <c r="BJ53" s="65"/>
      <c r="BK53" s="66"/>
      <c r="BL53" s="15"/>
      <c r="BM53" s="65"/>
      <c r="BN53" s="66"/>
      <c r="BO53" s="66"/>
      <c r="BP53" s="65"/>
      <c r="BQ53" s="66"/>
      <c r="BR53" s="15"/>
      <c r="BS53" s="65"/>
      <c r="BT53" s="66"/>
      <c r="BU53" s="15"/>
      <c r="BV53" s="65"/>
      <c r="BW53" s="66"/>
      <c r="BX53" s="15"/>
      <c r="BY53" s="65"/>
      <c r="BZ53" s="66"/>
      <c r="CA53" s="15"/>
      <c r="CB53" s="65"/>
      <c r="CC53" s="66"/>
      <c r="CD53" s="15"/>
      <c r="CE53" s="65"/>
      <c r="CF53" s="66"/>
      <c r="CG53" s="15"/>
      <c r="CH53" s="65"/>
      <c r="CI53" s="66"/>
      <c r="CJ53" s="15"/>
      <c r="CK53" s="65"/>
      <c r="CL53" s="66"/>
    </row>
    <row r="54" spans="2:90" x14ac:dyDescent="0.35">
      <c r="B54" s="29" t="s">
        <v>10</v>
      </c>
      <c r="C54" s="1"/>
      <c r="D54" s="41">
        <f t="shared" ref="D54:AV54" si="181">+D43+D48</f>
        <v>5523.0446936081435</v>
      </c>
      <c r="E54" s="42">
        <v>0.22383443283463933</v>
      </c>
      <c r="F54" s="41">
        <f t="shared" si="181"/>
        <v>5795.72</v>
      </c>
      <c r="G54" s="42">
        <v>0.22978586655081037</v>
      </c>
      <c r="H54" s="41">
        <f t="shared" ref="H54" si="182">+H43+H48</f>
        <v>5781.23</v>
      </c>
      <c r="I54" s="42">
        <v>0.22192363524893444</v>
      </c>
      <c r="J54" s="16">
        <f t="shared" si="135"/>
        <v>-2.500120778781703E-3</v>
      </c>
      <c r="K54" s="41">
        <f t="shared" ref="K54" si="183">+K43+K48</f>
        <v>5822.6262939873113</v>
      </c>
      <c r="L54" s="42">
        <v>0.22180869290260227</v>
      </c>
      <c r="M54" s="16">
        <f t="shared" si="136"/>
        <v>7.1604648123862512E-3</v>
      </c>
      <c r="N54" s="41">
        <f t="shared" ref="N54" si="184">+N43+N48</f>
        <v>5847.1481899999999</v>
      </c>
      <c r="O54" s="42">
        <v>0.21510733569409968</v>
      </c>
      <c r="P54" s="16">
        <f>(+N54-H54)/H54</f>
        <v>1.1402104742416463E-2</v>
      </c>
      <c r="Q54" s="41">
        <f t="shared" ref="Q54" si="185">+Q43+Q48</f>
        <v>5914.0792951370686</v>
      </c>
      <c r="R54" s="42">
        <v>0.20999656481098833</v>
      </c>
      <c r="S54" s="16">
        <f>(+Q54-K54)/K54</f>
        <v>1.5706486477450127E-2</v>
      </c>
      <c r="T54" s="41">
        <f t="shared" ref="T54" si="186">+T43+T48</f>
        <v>5917.3379349240313</v>
      </c>
      <c r="U54" s="42">
        <f>+T54/T56</f>
        <v>0.1993399903631102</v>
      </c>
      <c r="V54" s="41">
        <f t="shared" ref="V54" si="187">+V43+V48</f>
        <v>5897.9408871262776</v>
      </c>
      <c r="W54" s="42">
        <f>+V54/V56</f>
        <v>0.19514747875275257</v>
      </c>
      <c r="X54" s="41">
        <f t="shared" ref="X54" si="188">+X43+X48</f>
        <v>5890.9694321884454</v>
      </c>
      <c r="Y54" s="42">
        <f>+V54/V56</f>
        <v>0.19514747875275257</v>
      </c>
      <c r="Z54" s="41">
        <f t="shared" ref="Z54" si="189">+Z43+Z48</f>
        <v>6142.5021709999992</v>
      </c>
      <c r="AA54" s="42">
        <f>+Z54/Z56</f>
        <v>0.2016438640194817</v>
      </c>
      <c r="AB54" s="41">
        <f t="shared" ref="AB54" si="190">+AB43+AB48</f>
        <v>6144.8956825120104</v>
      </c>
      <c r="AC54" s="42">
        <f>+AB54/AB56</f>
        <v>0.18947043136851596</v>
      </c>
      <c r="AD54" s="41">
        <f t="shared" ref="AD54" si="191">+AD43+AD48</f>
        <v>6144.9382071051505</v>
      </c>
      <c r="AE54" s="42">
        <f>+AD54/AD56</f>
        <v>0.18153050521651343</v>
      </c>
      <c r="AF54" s="41">
        <f t="shared" ref="AF54" si="192">+AF43+AF48</f>
        <v>6188.4104437765027</v>
      </c>
      <c r="AG54" s="42">
        <f>+AF54/AF56</f>
        <v>0.17861795787073648</v>
      </c>
      <c r="AH54" s="41">
        <f t="shared" ref="AH54" si="193">+AH43+AH48</f>
        <v>8083.1322875475835</v>
      </c>
      <c r="AI54" s="42">
        <f>+AH54/AH56</f>
        <v>0.21849962033432091</v>
      </c>
      <c r="AJ54" s="43">
        <f t="shared" ref="AJ54" si="194">+AJ43+AJ48</f>
        <v>8060.9045507198616</v>
      </c>
      <c r="AK54" s="44">
        <f>+AJ54/AJ56</f>
        <v>0.21545354852314136</v>
      </c>
      <c r="AL54" s="43">
        <f t="shared" ref="AL54" si="195">+AL43+AL48</f>
        <v>8891.78140677796</v>
      </c>
      <c r="AM54" s="79">
        <f>+AL54/AL56</f>
        <v>0.23308459300066514</v>
      </c>
      <c r="AN54" s="43">
        <f t="shared" ref="AN54" si="196">+AN43+AN48</f>
        <v>9316.0665566641455</v>
      </c>
      <c r="AO54" s="79">
        <f>+AN54/AN56</f>
        <v>0.23665700833347075</v>
      </c>
      <c r="AP54" s="43">
        <f t="shared" ref="AP54" si="197">+AP43+AP48</f>
        <v>9357.0269365626173</v>
      </c>
      <c r="AQ54" s="80">
        <f>+AP54/AP56</f>
        <v>0.23726897583890919</v>
      </c>
      <c r="AR54" s="43">
        <f t="shared" ref="AR54" si="198">+AR43+AR48</f>
        <v>9588.9830000000002</v>
      </c>
      <c r="AS54" s="80">
        <f>+AR54/AR56</f>
        <v>0.2315189905601458</v>
      </c>
      <c r="AT54" s="43">
        <f t="shared" ref="AT54" si="199">+AT43+AT48</f>
        <v>9941.7912967282991</v>
      </c>
      <c r="AU54" s="80">
        <f>+AT54/AT56</f>
        <v>0.23512667978099916</v>
      </c>
      <c r="AV54" s="43">
        <f t="shared" si="181"/>
        <v>10212.184799999999</v>
      </c>
      <c r="AW54" s="80">
        <f>+AV54/AV56</f>
        <v>0.2359624634787863</v>
      </c>
      <c r="AX54" s="43">
        <f t="shared" ref="AX54:AZ54" si="200">+AX43+AX48</f>
        <v>10548.126746754953</v>
      </c>
      <c r="AY54" s="80">
        <f>+AX54/AX56</f>
        <v>0.24856490241049178</v>
      </c>
      <c r="AZ54" s="43">
        <f t="shared" si="200"/>
        <v>11089.354297961099</v>
      </c>
      <c r="BA54" s="80">
        <f>+AZ54/AZ56</f>
        <v>0.26019057024906289</v>
      </c>
      <c r="BB54" s="66">
        <f t="shared" si="1"/>
        <v>5.1310300321585567E-2</v>
      </c>
      <c r="BC54" s="43">
        <f t="shared" ref="BC54" si="201">+BC43+BC48</f>
        <v>12083.932058749207</v>
      </c>
      <c r="BD54" s="80">
        <f>+BC54/BC56</f>
        <v>0.28411981811604553</v>
      </c>
      <c r="BE54" s="66">
        <f t="shared" si="2"/>
        <v>8.9687616976127482E-2</v>
      </c>
      <c r="BF54" s="43">
        <f t="shared" ref="BF54" si="202">+BF43+BF48</f>
        <v>11628.528384998075</v>
      </c>
      <c r="BG54" s="80">
        <f>+BF54/BF56</f>
        <v>0.25928176310449425</v>
      </c>
      <c r="BH54" s="66">
        <f t="shared" ref="BH54" si="203">(+BF54-BC54)/BC54</f>
        <v>-3.7686712531737838E-2</v>
      </c>
      <c r="BI54" s="43">
        <f t="shared" ref="BI54" si="204">+BI43+BI48</f>
        <v>12063.694615492785</v>
      </c>
      <c r="BJ54" s="80">
        <f>+BI54/BI56</f>
        <v>0.25545166632845451</v>
      </c>
      <c r="BK54" s="66">
        <f t="shared" ref="BK54" si="205">(+BI54-BF54)/BF54</f>
        <v>3.7422295933517771E-2</v>
      </c>
      <c r="BL54" s="43">
        <f t="shared" ref="BL54" si="206">+BL43+BL48</f>
        <v>11083.932058749211</v>
      </c>
      <c r="BM54" s="80">
        <f>+BL54/BL56</f>
        <v>0.22029858541507977</v>
      </c>
      <c r="BN54" s="66">
        <f t="shared" ref="BN54" si="207">(+BL54-BI54)/BI54</f>
        <v>-8.1215795655612391E-2</v>
      </c>
      <c r="BO54" s="43">
        <f t="shared" ref="BO54" si="208">+BO43+BO48</f>
        <v>12583.647612513036</v>
      </c>
      <c r="BP54" s="80">
        <f>+BO54/BO56</f>
        <v>0.24077217436490453</v>
      </c>
      <c r="BQ54" s="66">
        <f t="shared" ref="BQ54" si="209">(+BO54-BL54)/BL54</f>
        <v>0.13530537230061865</v>
      </c>
      <c r="BR54" s="43">
        <f t="shared" ref="BR54" si="210">+BR43+BR48</f>
        <v>12804.358664112144</v>
      </c>
      <c r="BS54" s="80">
        <f>+BR54/BR56</f>
        <v>0.24559008303447263</v>
      </c>
      <c r="BT54" s="66">
        <f t="shared" si="7"/>
        <v>1.7539513056582693E-2</v>
      </c>
      <c r="BU54" s="43">
        <f t="shared" ref="BU54" si="211">+BU43+BU48</f>
        <v>14394.297429165726</v>
      </c>
      <c r="BV54" s="80">
        <f>+BU54/BU56</f>
        <v>0.26209956550026953</v>
      </c>
      <c r="BW54" s="66">
        <f t="shared" ref="BW54" si="212">(+BU54-BR54)/BR54</f>
        <v>0.12417168299962092</v>
      </c>
      <c r="BX54" s="43">
        <f t="shared" ref="BX54" si="213">+BX43+BX48</f>
        <v>15030.907416920623</v>
      </c>
      <c r="BY54" s="80">
        <f>+BX54/BX56</f>
        <v>0.26618713584072595</v>
      </c>
      <c r="BZ54" s="66">
        <f t="shared" ref="BZ54" si="214">(+BX54-BU54)/BU54</f>
        <v>4.4226541162404882E-2</v>
      </c>
      <c r="CA54" s="43">
        <f t="shared" ref="CA54" si="215">+CA43+CA48</f>
        <v>15520.625868784966</v>
      </c>
      <c r="CB54" s="80">
        <f>+CA54/CA56</f>
        <v>0.28081901898298195</v>
      </c>
      <c r="CC54" s="66">
        <f t="shared" ref="CC54" si="216">(+CA54-BX54)/BX54</f>
        <v>3.2580764306555154E-2</v>
      </c>
      <c r="CD54" s="43">
        <f t="shared" ref="CD54" si="217">+CD43+CD48</f>
        <v>15505.011209987584</v>
      </c>
      <c r="CE54" s="80">
        <f>+CD54/CD56</f>
        <v>0.27505762289463331</v>
      </c>
      <c r="CF54" s="66">
        <f t="shared" ref="CF54" si="218">(+CD54-CA54)/CA54</f>
        <v>-1.006058578397013E-3</v>
      </c>
      <c r="CG54" s="43">
        <f t="shared" ref="CG54" si="219">+CG43+CG48</f>
        <v>15283.103163072732</v>
      </c>
      <c r="CH54" s="80">
        <f>+CG54/CG56</f>
        <v>0.26637757948704216</v>
      </c>
      <c r="CI54" s="66">
        <f t="shared" ref="CI54" si="220">(+CG54-CD54)/CD54</f>
        <v>-1.4312021056257578E-2</v>
      </c>
      <c r="CJ54" s="43">
        <f t="shared" ref="CJ54" si="221">+CJ43+CJ48</f>
        <v>15286.182519232554</v>
      </c>
      <c r="CK54" s="80">
        <f>+CJ54/CJ56</f>
        <v>0.26061716365478638</v>
      </c>
      <c r="CL54" s="66">
        <f t="shared" ref="CL54" si="222">(+CJ54-CG54)/CG54</f>
        <v>2.0148762505656852E-4</v>
      </c>
    </row>
    <row r="55" spans="2:90" ht="21.6" customHeight="1" x14ac:dyDescent="0.3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5"/>
      <c r="AK55" s="2"/>
      <c r="AL55" s="15"/>
      <c r="AM55" s="64"/>
      <c r="AN55" s="15"/>
      <c r="AO55" s="64"/>
      <c r="AP55" s="15"/>
      <c r="AQ55" s="65"/>
      <c r="AR55" s="15"/>
      <c r="AS55" s="65"/>
      <c r="AT55" s="15"/>
      <c r="AU55" s="65"/>
      <c r="AV55" s="15"/>
      <c r="AW55" s="65"/>
      <c r="AX55" s="15"/>
      <c r="AY55" s="65"/>
      <c r="AZ55" s="15"/>
      <c r="BA55" s="65"/>
      <c r="BB55" s="66"/>
      <c r="BC55" s="15"/>
      <c r="BD55" s="65"/>
      <c r="BE55" s="66"/>
      <c r="BF55" s="15"/>
      <c r="BG55" s="65"/>
      <c r="BH55" s="66"/>
      <c r="BI55" s="15"/>
      <c r="BJ55" s="65"/>
      <c r="BK55" s="66"/>
      <c r="BL55" s="15"/>
      <c r="BM55" s="65"/>
      <c r="BN55" s="66"/>
      <c r="BO55" s="66"/>
      <c r="BP55" s="65"/>
      <c r="BQ55" s="66"/>
      <c r="BR55" s="15"/>
      <c r="BS55" s="65"/>
      <c r="BT55" s="66"/>
      <c r="BU55" s="15"/>
      <c r="BV55" s="65"/>
      <c r="BW55" s="66"/>
      <c r="BX55" s="15"/>
      <c r="BY55" s="65"/>
      <c r="BZ55" s="66"/>
      <c r="CA55" s="15"/>
      <c r="CB55" s="65"/>
      <c r="CC55" s="66"/>
      <c r="CD55" s="15"/>
      <c r="CE55" s="65"/>
      <c r="CF55" s="66"/>
      <c r="CG55" s="15"/>
      <c r="CH55" s="65"/>
      <c r="CI55" s="66"/>
      <c r="CJ55" s="15"/>
      <c r="CK55" s="65"/>
      <c r="CL55" s="66"/>
    </row>
    <row r="56" spans="2:90" x14ac:dyDescent="0.35">
      <c r="B56" s="99" t="s">
        <v>11</v>
      </c>
      <c r="C56" s="99"/>
      <c r="D56" s="45">
        <f t="shared" ref="D56:I56" si="223">+D54+D38</f>
        <v>24674.687552153187</v>
      </c>
      <c r="E56" s="46">
        <f t="shared" si="223"/>
        <v>1</v>
      </c>
      <c r="F56" s="45">
        <f t="shared" si="223"/>
        <v>25222.264915577161</v>
      </c>
      <c r="G56" s="46">
        <f t="shared" si="223"/>
        <v>0.99999999999999989</v>
      </c>
      <c r="H56" s="45">
        <f t="shared" si="223"/>
        <v>26050.53758025874</v>
      </c>
      <c r="I56" s="46">
        <f t="shared" si="223"/>
        <v>1</v>
      </c>
      <c r="J56" s="46">
        <f t="shared" si="135"/>
        <v>3.2838948740485291E-2</v>
      </c>
      <c r="K56" s="45">
        <f>+K54+K38</f>
        <v>26250.667716364329</v>
      </c>
      <c r="L56" s="46">
        <f>+L54+L38</f>
        <v>1</v>
      </c>
      <c r="M56" s="46">
        <f t="shared" si="136"/>
        <v>7.6823802767605198E-3</v>
      </c>
      <c r="N56" s="45">
        <f>+N54+N38</f>
        <v>27182.467632415501</v>
      </c>
      <c r="O56" s="46">
        <f>+O54+O38</f>
        <v>1</v>
      </c>
      <c r="P56" s="46">
        <f>(+N56-H56)/H56</f>
        <v>4.3451312613776688E-2</v>
      </c>
      <c r="Q56" s="45">
        <f>+Q54+Q38</f>
        <v>28162.743045154839</v>
      </c>
      <c r="R56" s="46">
        <f>+R54+R38</f>
        <v>1</v>
      </c>
      <c r="S56" s="46">
        <f>(+Q56-K56)/K56</f>
        <v>7.2839112111367232E-2</v>
      </c>
      <c r="T56" s="45">
        <f t="shared" ref="T56:AW56" si="224">+T54+T38</f>
        <v>29684.650451448462</v>
      </c>
      <c r="U56" s="46">
        <f t="shared" si="224"/>
        <v>1</v>
      </c>
      <c r="V56" s="45">
        <f t="shared" si="224"/>
        <v>30222.993014420827</v>
      </c>
      <c r="W56" s="46">
        <f t="shared" si="224"/>
        <v>1</v>
      </c>
      <c r="X56" s="45">
        <f t="shared" ref="X56:AN56" si="225">+X54+X38</f>
        <v>30976.672428417383</v>
      </c>
      <c r="Y56" s="46">
        <f t="shared" ref="Y56:Z56" si="226">+Y54+Y38</f>
        <v>1</v>
      </c>
      <c r="Z56" s="45">
        <f t="shared" si="226"/>
        <v>30462.132834384411</v>
      </c>
      <c r="AA56" s="46">
        <f t="shared" si="225"/>
        <v>1.0114694853543225</v>
      </c>
      <c r="AB56" s="45">
        <f t="shared" si="225"/>
        <v>32431.950664430158</v>
      </c>
      <c r="AC56" s="46">
        <f t="shared" si="225"/>
        <v>0.99999999999999989</v>
      </c>
      <c r="AD56" s="45">
        <f t="shared" si="225"/>
        <v>33850.71946875273</v>
      </c>
      <c r="AE56" s="46">
        <f t="shared" si="225"/>
        <v>1</v>
      </c>
      <c r="AF56" s="45">
        <f t="shared" si="225"/>
        <v>34646.07096367643</v>
      </c>
      <c r="AG56" s="46">
        <f t="shared" si="225"/>
        <v>1</v>
      </c>
      <c r="AH56" s="45">
        <f t="shared" si="225"/>
        <v>36993.804726890514</v>
      </c>
      <c r="AI56" s="46">
        <f t="shared" si="225"/>
        <v>1</v>
      </c>
      <c r="AJ56" s="45">
        <f t="shared" si="225"/>
        <v>37413.65415410672</v>
      </c>
      <c r="AK56" s="47">
        <f t="shared" si="225"/>
        <v>0.99999999999999989</v>
      </c>
      <c r="AL56" s="45">
        <f t="shared" si="225"/>
        <v>38148.301834572936</v>
      </c>
      <c r="AM56" s="81">
        <f t="shared" si="225"/>
        <v>1</v>
      </c>
      <c r="AN56" s="45">
        <f t="shared" si="225"/>
        <v>39365.267998051342</v>
      </c>
      <c r="AO56" s="81">
        <f>+AO38+AO54</f>
        <v>1</v>
      </c>
      <c r="AP56" s="45">
        <f t="shared" ref="AP56:AU56" si="227">+AP54+AP38</f>
        <v>39436.369223911744</v>
      </c>
      <c r="AQ56" s="82">
        <f t="shared" si="227"/>
        <v>0.99999999999999989</v>
      </c>
      <c r="AR56" s="45">
        <f t="shared" si="227"/>
        <v>41417.695268971467</v>
      </c>
      <c r="AS56" s="82">
        <f t="shared" si="227"/>
        <v>1</v>
      </c>
      <c r="AT56" s="45">
        <f t="shared" si="227"/>
        <v>42282.701843909192</v>
      </c>
      <c r="AU56" s="82">
        <f t="shared" si="227"/>
        <v>1</v>
      </c>
      <c r="AV56" s="45">
        <f t="shared" si="224"/>
        <v>43278.853125374764</v>
      </c>
      <c r="AW56" s="82">
        <f t="shared" si="224"/>
        <v>1</v>
      </c>
      <c r="AX56" s="45">
        <f t="shared" ref="AX56:AY56" si="228">+AX54+AX38</f>
        <v>42436.10680535774</v>
      </c>
      <c r="AY56" s="82">
        <f t="shared" si="228"/>
        <v>1</v>
      </c>
      <c r="AZ56" s="45">
        <f t="shared" ref="AZ56:BA56" si="229">+AZ54+AZ38</f>
        <v>42620.123732178334</v>
      </c>
      <c r="BA56" s="82">
        <f t="shared" si="229"/>
        <v>1</v>
      </c>
      <c r="BB56" s="83">
        <f>(+AV56-AT56)/AT56</f>
        <v>2.3559310025716054E-2</v>
      </c>
      <c r="BC56" s="45">
        <f t="shared" ref="BC56:BD56" si="230">+BC54+BC38</f>
        <v>42531.112890596254</v>
      </c>
      <c r="BD56" s="82">
        <f t="shared" si="230"/>
        <v>1</v>
      </c>
      <c r="BE56" s="83">
        <f>(+BC56-AZ56)/AZ56</f>
        <v>-2.0884698069254105E-3</v>
      </c>
      <c r="BF56" s="45">
        <f t="shared" ref="BF56:BG56" si="231">+BF54+BF38</f>
        <v>44849.002281396904</v>
      </c>
      <c r="BG56" s="82">
        <f t="shared" si="231"/>
        <v>0.99999999999999989</v>
      </c>
      <c r="BH56" s="83">
        <f>(+BF56-BC56)/BC56</f>
        <v>5.4498677162833943E-2</v>
      </c>
      <c r="BI56" s="45">
        <f t="shared" ref="BI56:BJ56" si="232">+BI54+BI38</f>
        <v>47224.959574080582</v>
      </c>
      <c r="BJ56" s="82">
        <f t="shared" si="232"/>
        <v>1</v>
      </c>
      <c r="BK56" s="83">
        <f>(+BI56-BF56)/BF56</f>
        <v>5.2976814908304214E-2</v>
      </c>
      <c r="BL56" s="45">
        <f t="shared" ref="BL56:BO56" si="233">+BL54+BL38</f>
        <v>50313.223926813735</v>
      </c>
      <c r="BM56" s="82">
        <f t="shared" si="233"/>
        <v>1</v>
      </c>
      <c r="BN56" s="83">
        <f>(+BL56-BI56)/BI56</f>
        <v>6.5394748467463945E-2</v>
      </c>
      <c r="BO56" s="45">
        <f t="shared" si="233"/>
        <v>52263.712140763288</v>
      </c>
      <c r="BP56" s="82">
        <f>+BP54+BP38</f>
        <v>1</v>
      </c>
      <c r="BQ56" s="83">
        <f>(+BO56-BL56)/BL56</f>
        <v>3.8766909804602429E-2</v>
      </c>
      <c r="BR56" s="45">
        <f t="shared" ref="BR56:BS56" si="234">+BR54+BR38</f>
        <v>52137.116067161558</v>
      </c>
      <c r="BS56" s="82">
        <f t="shared" si="234"/>
        <v>1</v>
      </c>
      <c r="BT56" s="83">
        <f>(+BR56-BO56)/BO56</f>
        <v>-2.4222556802081896E-3</v>
      </c>
      <c r="BU56" s="45">
        <f>+BU54+BU38</f>
        <v>54919.196076084016</v>
      </c>
      <c r="BV56" s="82">
        <f t="shared" ref="BV56" si="235">+BV54+BV38</f>
        <v>1</v>
      </c>
      <c r="BW56" s="83">
        <f>(+BU56-BR56)/BR56</f>
        <v>5.3360834253637295E-2</v>
      </c>
      <c r="BX56" s="45">
        <f>+BX54+BX38</f>
        <v>56467.444865233534</v>
      </c>
      <c r="BY56" s="82">
        <f t="shared" ref="BY56" si="236">+BY54+BY38</f>
        <v>1</v>
      </c>
      <c r="BZ56" s="83">
        <f>(+BX56-BU56)/BU56</f>
        <v>2.8191395718986923E-2</v>
      </c>
      <c r="CA56" s="45">
        <f>+CA54+CA38</f>
        <v>55269.140690665037</v>
      </c>
      <c r="CB56" s="82">
        <f t="shared" ref="CB56" si="237">+CB54+CB38</f>
        <v>1</v>
      </c>
      <c r="CC56" s="83">
        <f>(+CA56-BX56)/BX56</f>
        <v>-2.1221151008840516E-2</v>
      </c>
      <c r="CD56" s="45">
        <f>+CD54+CD38</f>
        <v>56370.047289789567</v>
      </c>
      <c r="CE56" s="82">
        <f t="shared" ref="CE56" si="238">+CE54+CE38</f>
        <v>1</v>
      </c>
      <c r="CF56" s="83">
        <f>(+CD56-CA56)/CA56</f>
        <v>1.9919010597363476E-2</v>
      </c>
      <c r="CG56" s="45">
        <f>+CG54+CG38</f>
        <v>57373.834511534675</v>
      </c>
      <c r="CH56" s="82">
        <f t="shared" ref="CH56" si="239">+CH54+CH38</f>
        <v>1</v>
      </c>
      <c r="CI56" s="83">
        <f>(+CG56-CD56)/CD56</f>
        <v>1.7807102708017879E-2</v>
      </c>
      <c r="CJ56" s="45">
        <f>+CJ54+CJ38</f>
        <v>58653.782831742574</v>
      </c>
      <c r="CK56" s="82">
        <f t="shared" ref="CK56" si="240">+CK54+CK38</f>
        <v>1</v>
      </c>
      <c r="CL56" s="83">
        <f>(+CJ56-CG56)/CG56</f>
        <v>2.2308920627408527E-2</v>
      </c>
    </row>
    <row r="57" spans="2:90" x14ac:dyDescent="0.3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2"/>
      <c r="AR57" s="1"/>
      <c r="AS57" s="2"/>
      <c r="AT57" s="1"/>
      <c r="AU57" s="2"/>
      <c r="AV57" s="1"/>
      <c r="AW57" s="2"/>
      <c r="AX57" s="1"/>
      <c r="AY57" s="2"/>
      <c r="AZ57" s="1"/>
      <c r="BA57" s="2"/>
      <c r="BB57" s="3"/>
      <c r="BC57" s="1"/>
      <c r="BD57" s="2"/>
      <c r="BE57" s="3"/>
      <c r="BF57" s="85"/>
      <c r="BG57" s="2"/>
      <c r="BH57" s="3"/>
      <c r="BI57" s="85"/>
      <c r="BJ57" s="2"/>
      <c r="BK57" s="3"/>
      <c r="BL57" s="85"/>
      <c r="BM57" s="2"/>
      <c r="BN57" s="3"/>
      <c r="BO57" s="3"/>
      <c r="BP57" s="3"/>
      <c r="BQ57" s="3"/>
    </row>
    <row r="58" spans="2:90" x14ac:dyDescent="0.3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40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2"/>
      <c r="AR58" s="1"/>
      <c r="AS58" s="2"/>
      <c r="AT58" s="1"/>
      <c r="AU58" s="2"/>
      <c r="AV58" s="86"/>
      <c r="AW58" s="2"/>
      <c r="AX58" s="86"/>
      <c r="AY58" s="2"/>
      <c r="AZ58" s="86"/>
      <c r="BA58" s="2"/>
      <c r="BB58" s="3"/>
      <c r="BC58" s="86"/>
      <c r="BD58" s="2"/>
      <c r="BE58" s="3"/>
      <c r="BF58" s="86"/>
      <c r="BG58" s="2"/>
      <c r="BH58" s="3"/>
      <c r="BI58" s="87"/>
      <c r="BJ58" s="2"/>
      <c r="BK58" s="3"/>
      <c r="BL58" s="87"/>
      <c r="BM58" s="2"/>
      <c r="BN58" s="3"/>
      <c r="BO58" s="15"/>
      <c r="BP58" s="3"/>
      <c r="BQ58" s="3"/>
      <c r="BR58" s="84"/>
      <c r="BU58" s="89">
        <f>+BU56*523.72</f>
        <v>28762281.368966721</v>
      </c>
      <c r="BV58" s="54"/>
      <c r="BW58" s="54"/>
      <c r="BX58" s="90">
        <f>+BX56*504.1</f>
        <v>28465238.956564225</v>
      </c>
      <c r="CG58" s="84"/>
      <c r="CJ58" s="84"/>
    </row>
    <row r="59" spans="2:90" x14ac:dyDescent="0.35">
      <c r="B59" s="51" t="s">
        <v>12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2"/>
      <c r="AR59" s="1"/>
      <c r="AS59" s="2"/>
      <c r="AT59" s="1"/>
      <c r="AU59" s="2"/>
      <c r="AV59" s="1"/>
      <c r="AW59" s="2"/>
      <c r="AX59" s="1"/>
      <c r="AY59" s="2"/>
      <c r="AZ59" s="2"/>
      <c r="BA59" s="2"/>
      <c r="BB59" s="3"/>
      <c r="BC59" s="2"/>
      <c r="BD59" s="2"/>
      <c r="BE59" s="3"/>
      <c r="BF59" s="2"/>
      <c r="BG59" s="2"/>
      <c r="BH59" s="3"/>
      <c r="BI59" s="88"/>
      <c r="BJ59" s="2"/>
      <c r="BK59" s="3"/>
      <c r="BL59" s="88"/>
      <c r="BM59" s="2"/>
      <c r="BN59" s="3"/>
      <c r="BO59" s="3"/>
      <c r="BP59" s="3"/>
      <c r="BQ59" s="3"/>
      <c r="BU59" s="53">
        <f>+BU58-'Tenencia deuda bonificada GC ¢'!BU56</f>
        <v>-0.13468791916966438</v>
      </c>
      <c r="BV59" s="54"/>
      <c r="BW59" s="54"/>
      <c r="BX59" s="53">
        <f>+BX58-'Tenencia deuda bonificada GC ¢'!BX56</f>
        <v>0</v>
      </c>
      <c r="CG59" s="50"/>
      <c r="CJ59" s="50"/>
    </row>
    <row r="60" spans="2:90" x14ac:dyDescent="0.3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2"/>
      <c r="AR60" s="1"/>
      <c r="AS60" s="2"/>
      <c r="AT60" s="1"/>
      <c r="AU60" s="2"/>
      <c r="AV60" s="1"/>
      <c r="AW60" s="2"/>
      <c r="AX60" s="3"/>
      <c r="BR60" s="50"/>
      <c r="BU60" s="50"/>
      <c r="BX60" s="50"/>
    </row>
    <row r="61" spans="2:90" x14ac:dyDescent="0.35">
      <c r="B61" s="51" t="s">
        <v>22</v>
      </c>
      <c r="C61" s="51"/>
      <c r="D61" s="51"/>
      <c r="E61" s="5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2"/>
      <c r="AR61" s="1"/>
      <c r="AS61" s="2"/>
      <c r="AT61" s="1"/>
      <c r="AU61" s="2"/>
      <c r="AV61" s="1"/>
      <c r="AW61" s="2"/>
      <c r="AX61" s="3"/>
    </row>
    <row r="62" spans="2:90" x14ac:dyDescent="0.35">
      <c r="B62" s="51" t="s">
        <v>25</v>
      </c>
      <c r="C62" s="51"/>
      <c r="D62" s="51"/>
      <c r="E62" s="5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2"/>
      <c r="AR62" s="1"/>
      <c r="AS62" s="2"/>
      <c r="AT62" s="1"/>
      <c r="AU62" s="2"/>
      <c r="AV62" s="1"/>
      <c r="AW62" s="2"/>
      <c r="AX62" s="3"/>
    </row>
    <row r="63" spans="2:90" x14ac:dyDescent="0.35">
      <c r="B63" s="51" t="s">
        <v>33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2"/>
      <c r="AR63" s="1"/>
      <c r="AS63" s="2"/>
      <c r="AT63" s="1"/>
      <c r="AU63" s="2"/>
      <c r="AV63" s="1"/>
      <c r="AW63" s="2"/>
      <c r="AX63" s="3"/>
    </row>
    <row r="64" spans="2:90" x14ac:dyDescent="0.35">
      <c r="B64" s="51" t="s">
        <v>30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2"/>
      <c r="AR64" s="1"/>
      <c r="AS64" s="2"/>
      <c r="AT64" s="1"/>
      <c r="AU64" s="2"/>
      <c r="AV64" s="1"/>
      <c r="AW64" s="2"/>
      <c r="AX64" s="3"/>
    </row>
    <row r="65" spans="2:2" x14ac:dyDescent="0.35">
      <c r="B65" s="51" t="s">
        <v>79</v>
      </c>
    </row>
    <row r="66" spans="2:2" x14ac:dyDescent="0.35">
      <c r="B66" s="57" t="s">
        <v>80</v>
      </c>
    </row>
    <row r="67" spans="2:2" x14ac:dyDescent="0.35">
      <c r="B67" s="57" t="s">
        <v>73</v>
      </c>
    </row>
    <row r="68" spans="2:2" x14ac:dyDescent="0.35">
      <c r="B68" s="57" t="s">
        <v>72</v>
      </c>
    </row>
  </sheetData>
  <mergeCells count="12">
    <mergeCell ref="B2:CI2"/>
    <mergeCell ref="B3:CI3"/>
    <mergeCell ref="B4:CI4"/>
    <mergeCell ref="B5:CI5"/>
    <mergeCell ref="B56:C56"/>
    <mergeCell ref="B7:C7"/>
    <mergeCell ref="B11:C11"/>
    <mergeCell ref="B12:C12"/>
    <mergeCell ref="B36:C36"/>
    <mergeCell ref="B43:C43"/>
    <mergeCell ref="B44:C44"/>
    <mergeCell ref="B48:C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e77c208a8302d85cd4e249fff931b229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efffd9af8a13b64d2babcf87a90dd478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15B821-6C48-4DBD-9D46-23E7726ECD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78801B-DF3A-4A6F-81B0-312D72CB01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1F38F6-0124-4263-AA9F-1D1AE4892A00}">
  <ds:schemaRefs>
    <ds:schemaRef ds:uri="http://purl.org/dc/dcmitype/"/>
    <ds:schemaRef ds:uri="ca0b8503-558e-4550-823a-26f008707f9a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f1d2543-a317-404b-b796-299c7d33105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Tenencia deuda bonificada GC ¢</vt:lpstr>
      <vt:lpstr>Tenencia deuda bonificada GC $</vt:lpstr>
      <vt:lpstr>'Tenencia deuda bonificada GC $'!Área_de_impresión</vt:lpstr>
      <vt:lpstr>'Tenencia deuda bonificada GC ¢'!Área_de_impresión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Mitxy Yannith Rivera Cordero</dc:creator>
  <cp:lastModifiedBy>Karen Rojas Madrigal</cp:lastModifiedBy>
  <cp:lastPrinted>2017-03-27T19:44:13Z</cp:lastPrinted>
  <dcterms:created xsi:type="dcterms:W3CDTF">2017-01-30T14:08:32Z</dcterms:created>
  <dcterms:modified xsi:type="dcterms:W3CDTF">2025-07-15T14:13:57Z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