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INGRESOS Y GASTOS RECONOCIDO/2025/12 Diciembre 2025/"/>
    </mc:Choice>
  </mc:AlternateContent>
  <xr:revisionPtr revIDLastSave="437" documentId="8_{38C578DA-6D49-49FE-9CDB-407CE6829EA2}" xr6:coauthVersionLast="47" xr6:coauthVersionMax="47" xr10:uidLastSave="{15221BCB-22AC-4B92-BEB0-7FD023837A5B}"/>
  <bookViews>
    <workbookView xWindow="-120" yWindow="-120" windowWidth="29040" windowHeight="15720" tabRatio="861" activeTab="1" xr2:uid="{492B78C3-8D34-4469-A045-97ABBC03824D}"/>
  </bookViews>
  <sheets>
    <sheet name="SIMPLE" sheetId="1" r:id="rId1"/>
    <sheet name="ACUMULADO" sheetId="10" r:id="rId2"/>
    <sheet name="INGRESOS" sheetId="11" r:id="rId3"/>
  </sheets>
  <definedNames>
    <definedName name="\a">#REF!</definedName>
    <definedName name="ANITA">#REF!</definedName>
    <definedName name="_xlnm.Print_Area" localSheetId="1">ACUMULADO!$A$1:$AI$86</definedName>
    <definedName name="_xlnm.Print_Area" localSheetId="0">SIMPLE!$A$1:$AI$86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5" i="1" l="1"/>
  <c r="V74" i="1" s="1"/>
  <c r="V75" i="10"/>
  <c r="V74" i="10" s="1"/>
  <c r="P42" i="1"/>
  <c r="Q42" i="1"/>
  <c r="R42" i="1"/>
  <c r="S42" i="1"/>
  <c r="T42" i="1"/>
  <c r="U42" i="1"/>
  <c r="V42" i="1"/>
  <c r="M63" i="11"/>
  <c r="N63" i="11"/>
  <c r="F63" i="11"/>
  <c r="G63" i="11"/>
  <c r="M62" i="11"/>
  <c r="N62" i="11"/>
  <c r="F62" i="11"/>
  <c r="G62" i="11"/>
  <c r="N61" i="11"/>
  <c r="M61" i="11"/>
  <c r="G61" i="11"/>
  <c r="F61" i="11"/>
  <c r="N59" i="11"/>
  <c r="M59" i="11"/>
  <c r="G59" i="11"/>
  <c r="F59" i="11"/>
  <c r="N58" i="11"/>
  <c r="M58" i="11"/>
  <c r="G58" i="11"/>
  <c r="F58" i="11"/>
  <c r="N57" i="11"/>
  <c r="M57" i="11"/>
  <c r="G57" i="11"/>
  <c r="F57" i="11"/>
  <c r="N56" i="11"/>
  <c r="M56" i="11"/>
  <c r="G56" i="11"/>
  <c r="F56" i="11"/>
  <c r="N55" i="11"/>
  <c r="M55" i="11"/>
  <c r="G55" i="11"/>
  <c r="F55" i="11"/>
  <c r="N54" i="11"/>
  <c r="M54" i="11"/>
  <c r="G54" i="11"/>
  <c r="F54" i="11"/>
  <c r="N53" i="11"/>
  <c r="M53" i="11"/>
  <c r="G53" i="11"/>
  <c r="F53" i="11"/>
  <c r="N52" i="11"/>
  <c r="M52" i="11"/>
  <c r="G52" i="11"/>
  <c r="F52" i="11"/>
  <c r="N51" i="11"/>
  <c r="M51" i="11"/>
  <c r="G51" i="11"/>
  <c r="F51" i="11"/>
  <c r="N50" i="11"/>
  <c r="M50" i="11"/>
  <c r="G50" i="11"/>
  <c r="F50" i="11"/>
  <c r="N49" i="11"/>
  <c r="M49" i="11"/>
  <c r="G49" i="11"/>
  <c r="F49" i="11"/>
  <c r="N48" i="11"/>
  <c r="M48" i="11"/>
  <c r="G48" i="11"/>
  <c r="F48" i="11"/>
  <c r="N47" i="11"/>
  <c r="M47" i="11"/>
  <c r="G47" i="11"/>
  <c r="F47" i="11"/>
  <c r="N46" i="11"/>
  <c r="M46" i="11"/>
  <c r="G46" i="11"/>
  <c r="F46" i="11"/>
  <c r="E43" i="11"/>
  <c r="G43" i="11" s="1"/>
  <c r="N45" i="11"/>
  <c r="M45" i="11"/>
  <c r="G45" i="11"/>
  <c r="F45" i="11"/>
  <c r="N44" i="11"/>
  <c r="M44" i="11"/>
  <c r="G44" i="11"/>
  <c r="F44" i="11"/>
  <c r="M43" i="11"/>
  <c r="L43" i="11"/>
  <c r="N43" i="11" s="1"/>
  <c r="F43" i="11"/>
  <c r="N41" i="11"/>
  <c r="M41" i="11"/>
  <c r="G41" i="11"/>
  <c r="F41" i="11"/>
  <c r="N40" i="11"/>
  <c r="M40" i="11"/>
  <c r="L39" i="11"/>
  <c r="N39" i="11" s="1"/>
  <c r="G40" i="11"/>
  <c r="F40" i="11"/>
  <c r="M39" i="11"/>
  <c r="F39" i="11"/>
  <c r="E39" i="11"/>
  <c r="G39" i="11" s="1"/>
  <c r="N37" i="11"/>
  <c r="M37" i="11"/>
  <c r="G37" i="11"/>
  <c r="F37" i="11"/>
  <c r="N36" i="11"/>
  <c r="M36" i="11"/>
  <c r="L35" i="11"/>
  <c r="N35" i="11" s="1"/>
  <c r="G36" i="11"/>
  <c r="F36" i="11"/>
  <c r="E35" i="11"/>
  <c r="G35" i="11" s="1"/>
  <c r="M35" i="11"/>
  <c r="F35" i="11"/>
  <c r="N33" i="11"/>
  <c r="M33" i="11"/>
  <c r="G33" i="11"/>
  <c r="F33" i="11"/>
  <c r="N32" i="11"/>
  <c r="M32" i="11"/>
  <c r="G32" i="11"/>
  <c r="F32" i="11"/>
  <c r="N31" i="11"/>
  <c r="M31" i="11"/>
  <c r="L30" i="11"/>
  <c r="N30" i="11" s="1"/>
  <c r="G31" i="11"/>
  <c r="F31" i="11"/>
  <c r="E30" i="11"/>
  <c r="G30" i="11" s="1"/>
  <c r="M30" i="11"/>
  <c r="F30" i="11"/>
  <c r="N28" i="11"/>
  <c r="M28" i="11"/>
  <c r="G28" i="11"/>
  <c r="F28" i="11"/>
  <c r="N27" i="11"/>
  <c r="M27" i="11"/>
  <c r="G27" i="11"/>
  <c r="F27" i="11"/>
  <c r="M26" i="11"/>
  <c r="L26" i="11"/>
  <c r="N26" i="11" s="1"/>
  <c r="F26" i="11"/>
  <c r="E26" i="11"/>
  <c r="G26" i="11" s="1"/>
  <c r="N24" i="11"/>
  <c r="M24" i="11"/>
  <c r="G24" i="11"/>
  <c r="F24" i="11"/>
  <c r="N23" i="11"/>
  <c r="M23" i="11"/>
  <c r="G23" i="11"/>
  <c r="F23" i="11"/>
  <c r="N22" i="11"/>
  <c r="M22" i="11"/>
  <c r="G22" i="11"/>
  <c r="F22" i="11"/>
  <c r="N21" i="11"/>
  <c r="M21" i="11"/>
  <c r="L21" i="11"/>
  <c r="F21" i="11"/>
  <c r="E21" i="11"/>
  <c r="G21" i="11" s="1"/>
  <c r="N18" i="11"/>
  <c r="M18" i="11"/>
  <c r="F18" i="11"/>
  <c r="G18" i="11"/>
  <c r="M17" i="11"/>
  <c r="N17" i="11"/>
  <c r="F17" i="11"/>
  <c r="G17" i="11"/>
  <c r="N16" i="11"/>
  <c r="M16" i="11"/>
  <c r="F16" i="11"/>
  <c r="G16" i="11"/>
  <c r="M15" i="11"/>
  <c r="L14" i="11"/>
  <c r="F15" i="11"/>
  <c r="E14" i="11"/>
  <c r="M14" i="11"/>
  <c r="F14" i="11"/>
  <c r="M12" i="11"/>
  <c r="F12" i="11"/>
  <c r="M10" i="11"/>
  <c r="F10" i="11"/>
  <c r="M9" i="11"/>
  <c r="F9" i="11"/>
  <c r="AO67" i="10"/>
  <c r="AO66" i="10"/>
  <c r="AO63" i="10"/>
  <c r="AO62" i="10"/>
  <c r="AO61" i="10"/>
  <c r="AO60" i="10"/>
  <c r="AO58" i="10"/>
  <c r="AO54" i="10"/>
  <c r="AO53" i="10"/>
  <c r="AO52" i="10"/>
  <c r="AO51" i="10"/>
  <c r="AO48" i="10"/>
  <c r="AO47" i="10"/>
  <c r="AO45" i="10"/>
  <c r="AO44" i="10"/>
  <c r="AO43" i="10"/>
  <c r="AO34" i="10"/>
  <c r="AO32" i="10"/>
  <c r="AO31" i="10"/>
  <c r="AO30" i="10"/>
  <c r="AO29" i="10"/>
  <c r="AO28" i="10"/>
  <c r="AO27" i="10"/>
  <c r="AO26" i="10"/>
  <c r="AO25" i="10"/>
  <c r="AO23" i="10"/>
  <c r="AO22" i="10"/>
  <c r="AO20" i="10"/>
  <c r="AO19" i="10"/>
  <c r="AO18" i="10"/>
  <c r="AO16" i="10"/>
  <c r="AO15" i="10"/>
  <c r="AO13" i="10"/>
  <c r="V65" i="10"/>
  <c r="AO65" i="10" s="1"/>
  <c r="U65" i="10"/>
  <c r="V59" i="10"/>
  <c r="V56" i="10" s="1"/>
  <c r="AO56" i="10" s="1"/>
  <c r="V50" i="10"/>
  <c r="AO50" i="10" s="1"/>
  <c r="V46" i="10"/>
  <c r="AO46" i="10" s="1"/>
  <c r="V42" i="10"/>
  <c r="AO42" i="10" s="1"/>
  <c r="V24" i="10"/>
  <c r="AO24" i="10" s="1"/>
  <c r="V21" i="10"/>
  <c r="AO21" i="10" s="1"/>
  <c r="V17" i="10"/>
  <c r="AO17" i="10" s="1"/>
  <c r="V14" i="10"/>
  <c r="AO14" i="10" s="1"/>
  <c r="E12" i="11" l="1"/>
  <c r="G14" i="11"/>
  <c r="L12" i="11"/>
  <c r="N14" i="11"/>
  <c r="G15" i="11"/>
  <c r="N15" i="11"/>
  <c r="AO59" i="10"/>
  <c r="V40" i="10"/>
  <c r="AO40" i="10" s="1"/>
  <c r="V12" i="10"/>
  <c r="V11" i="10" s="1"/>
  <c r="V9" i="10" s="1"/>
  <c r="AO67" i="1"/>
  <c r="AO66" i="1"/>
  <c r="AO65" i="1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9" i="1"/>
  <c r="AO27" i="1"/>
  <c r="AO26" i="1"/>
  <c r="AO25" i="1"/>
  <c r="AO23" i="1"/>
  <c r="AO22" i="1"/>
  <c r="AO20" i="1"/>
  <c r="AO19" i="1"/>
  <c r="AO18" i="1"/>
  <c r="AO16" i="1"/>
  <c r="AO15" i="1"/>
  <c r="AO13" i="1"/>
  <c r="V65" i="1"/>
  <c r="V59" i="1"/>
  <c r="AO59" i="1" s="1"/>
  <c r="V50" i="1"/>
  <c r="AO50" i="1" s="1"/>
  <c r="V46" i="1"/>
  <c r="AO42" i="1"/>
  <c r="V24" i="1"/>
  <c r="AO24" i="1" s="1"/>
  <c r="V21" i="1"/>
  <c r="AO21" i="1" s="1"/>
  <c r="V17" i="1"/>
  <c r="AO17" i="1" s="1"/>
  <c r="V14" i="1"/>
  <c r="AO14" i="1" s="1"/>
  <c r="W11" i="1"/>
  <c r="U74" i="10"/>
  <c r="U75" i="1"/>
  <c r="U74" i="1" s="1"/>
  <c r="U14" i="10"/>
  <c r="AN14" i="10"/>
  <c r="U17" i="10"/>
  <c r="AN17" i="10" s="1"/>
  <c r="U21" i="10"/>
  <c r="U24" i="10"/>
  <c r="AN22" i="10"/>
  <c r="U65" i="1"/>
  <c r="U59" i="1"/>
  <c r="U50" i="1"/>
  <c r="AN50" i="1" s="1"/>
  <c r="U46" i="1"/>
  <c r="U24" i="1"/>
  <c r="U21" i="1"/>
  <c r="AN21" i="1" s="1"/>
  <c r="U17" i="1"/>
  <c r="U14" i="1"/>
  <c r="AN29" i="1"/>
  <c r="AN67" i="1"/>
  <c r="AN66" i="1"/>
  <c r="AN63" i="1"/>
  <c r="AN62" i="1"/>
  <c r="AN61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7" i="1"/>
  <c r="AN26" i="1"/>
  <c r="AN25" i="1"/>
  <c r="AN23" i="1"/>
  <c r="AN22" i="1"/>
  <c r="AN20" i="1"/>
  <c r="AN19" i="1"/>
  <c r="AN18" i="1"/>
  <c r="AN16" i="1"/>
  <c r="AN15" i="1"/>
  <c r="AN13" i="1"/>
  <c r="AN67" i="10"/>
  <c r="AN66" i="10"/>
  <c r="AN63" i="10"/>
  <c r="AN62" i="10"/>
  <c r="AN61" i="10"/>
  <c r="AN60" i="10"/>
  <c r="AN58" i="10"/>
  <c r="AN54" i="10"/>
  <c r="AN53" i="10"/>
  <c r="AN52" i="10"/>
  <c r="AN51" i="10"/>
  <c r="AN48" i="10"/>
  <c r="AN47" i="10"/>
  <c r="AN45" i="10"/>
  <c r="AN44" i="10"/>
  <c r="AN43" i="10"/>
  <c r="AN34" i="10"/>
  <c r="AN32" i="10"/>
  <c r="AN31" i="10"/>
  <c r="AN30" i="10"/>
  <c r="AN29" i="10"/>
  <c r="AN28" i="10"/>
  <c r="AN27" i="10"/>
  <c r="AN26" i="10"/>
  <c r="AN25" i="10"/>
  <c r="AN23" i="10"/>
  <c r="AN20" i="10"/>
  <c r="AN19" i="10"/>
  <c r="AN18" i="10"/>
  <c r="AN16" i="10"/>
  <c r="AN15" i="10"/>
  <c r="AN13" i="10"/>
  <c r="U59" i="10"/>
  <c r="U56" i="10"/>
  <c r="U50" i="10"/>
  <c r="AN50" i="10" s="1"/>
  <c r="U46" i="10"/>
  <c r="AN46" i="10" s="1"/>
  <c r="U42" i="10"/>
  <c r="AN42" i="10" s="1"/>
  <c r="T24" i="10"/>
  <c r="T24" i="1"/>
  <c r="AN24" i="1" s="1"/>
  <c r="T21" i="1"/>
  <c r="AM21" i="1"/>
  <c r="T17" i="1"/>
  <c r="T14" i="1"/>
  <c r="T12" i="1" s="1"/>
  <c r="AM28" i="10"/>
  <c r="AL28" i="10"/>
  <c r="AM29" i="10"/>
  <c r="AL29" i="10"/>
  <c r="AM67" i="1"/>
  <c r="AM66" i="1"/>
  <c r="AM63" i="1"/>
  <c r="AM62" i="1"/>
  <c r="AM61" i="1"/>
  <c r="AM60" i="1"/>
  <c r="AM58" i="1"/>
  <c r="AM54" i="1"/>
  <c r="AM53" i="1"/>
  <c r="AM52" i="1"/>
  <c r="AM51" i="1"/>
  <c r="AM48" i="1"/>
  <c r="AM47" i="1"/>
  <c r="AM45" i="1"/>
  <c r="AM44" i="1"/>
  <c r="AM43" i="1"/>
  <c r="AM34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AM13" i="1"/>
  <c r="AM67" i="10"/>
  <c r="AM66" i="10"/>
  <c r="AM63" i="10"/>
  <c r="AM62" i="10"/>
  <c r="AM61" i="10"/>
  <c r="AM60" i="10"/>
  <c r="AM58" i="10"/>
  <c r="AM54" i="10"/>
  <c r="AM53" i="10"/>
  <c r="AM52" i="10"/>
  <c r="AM51" i="10"/>
  <c r="AM48" i="10"/>
  <c r="AM47" i="10"/>
  <c r="AM45" i="10"/>
  <c r="AM44" i="10"/>
  <c r="AM43" i="10"/>
  <c r="AM34" i="10"/>
  <c r="AM32" i="10"/>
  <c r="AM31" i="10"/>
  <c r="AM30" i="10"/>
  <c r="AM27" i="10"/>
  <c r="AM26" i="10"/>
  <c r="AM25" i="10"/>
  <c r="AM23" i="10"/>
  <c r="AM22" i="10"/>
  <c r="AM20" i="10"/>
  <c r="AM19" i="10"/>
  <c r="AM18" i="10"/>
  <c r="AM16" i="10"/>
  <c r="AM15" i="10"/>
  <c r="AM13" i="10"/>
  <c r="T74" i="1"/>
  <c r="T65" i="1"/>
  <c r="AN65" i="1"/>
  <c r="T59" i="1"/>
  <c r="AN59" i="1" s="1"/>
  <c r="T56" i="1"/>
  <c r="T50" i="1"/>
  <c r="T46" i="1"/>
  <c r="AM46" i="1" s="1"/>
  <c r="AN42" i="1"/>
  <c r="T74" i="10"/>
  <c r="T65" i="10"/>
  <c r="T59" i="10"/>
  <c r="T50" i="10"/>
  <c r="T46" i="10"/>
  <c r="T40" i="10" s="1"/>
  <c r="T42" i="10"/>
  <c r="T21" i="10"/>
  <c r="AM21" i="10" s="1"/>
  <c r="T17" i="10"/>
  <c r="T14" i="10"/>
  <c r="S74" i="1"/>
  <c r="S24" i="10"/>
  <c r="S50" i="10"/>
  <c r="AM50" i="10"/>
  <c r="AL44" i="10"/>
  <c r="S42" i="10"/>
  <c r="S24" i="1"/>
  <c r="AL24" i="1" s="1"/>
  <c r="S17" i="1"/>
  <c r="AL67" i="1"/>
  <c r="AL66" i="1"/>
  <c r="AL63" i="1"/>
  <c r="AL62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S65" i="1"/>
  <c r="AM65" i="1" s="1"/>
  <c r="S59" i="1"/>
  <c r="AM59" i="1" s="1"/>
  <c r="S50" i="1"/>
  <c r="S46" i="1"/>
  <c r="S40" i="1"/>
  <c r="AM42" i="1"/>
  <c r="S21" i="1"/>
  <c r="S14" i="1"/>
  <c r="S12" i="1" s="1"/>
  <c r="S11" i="1" s="1"/>
  <c r="AL67" i="10"/>
  <c r="AL66" i="10"/>
  <c r="AL63" i="10"/>
  <c r="AL62" i="10"/>
  <c r="AL61" i="10"/>
  <c r="AL60" i="10"/>
  <c r="AL58" i="10"/>
  <c r="AL54" i="10"/>
  <c r="AL53" i="10"/>
  <c r="AL52" i="10"/>
  <c r="AL51" i="10"/>
  <c r="AL48" i="10"/>
  <c r="AL47" i="10"/>
  <c r="AL45" i="10"/>
  <c r="AL43" i="10"/>
  <c r="AL34" i="10"/>
  <c r="AL32" i="10"/>
  <c r="AL31" i="10"/>
  <c r="AL30" i="10"/>
  <c r="AL27" i="10"/>
  <c r="AL26" i="10"/>
  <c r="AL25" i="10"/>
  <c r="AL23" i="10"/>
  <c r="AL22" i="10"/>
  <c r="AL20" i="10"/>
  <c r="AL19" i="10"/>
  <c r="AL18" i="10"/>
  <c r="AL16" i="10"/>
  <c r="AL15" i="10"/>
  <c r="AL13" i="10"/>
  <c r="S74" i="10"/>
  <c r="S65" i="10"/>
  <c r="S59" i="10"/>
  <c r="AM59" i="10"/>
  <c r="S46" i="10"/>
  <c r="S21" i="10"/>
  <c r="S17" i="10"/>
  <c r="AL17" i="10" s="1"/>
  <c r="S14" i="10"/>
  <c r="AL14" i="10" s="1"/>
  <c r="R74" i="10"/>
  <c r="R14" i="10"/>
  <c r="R24" i="1"/>
  <c r="AI54" i="1"/>
  <c r="R17" i="1"/>
  <c r="R17" i="10"/>
  <c r="R21" i="1"/>
  <c r="R14" i="1"/>
  <c r="AL14" i="1"/>
  <c r="AK67" i="10"/>
  <c r="AK66" i="10"/>
  <c r="AK63" i="10"/>
  <c r="AK62" i="10"/>
  <c r="AK61" i="10"/>
  <c r="AK60" i="10"/>
  <c r="AK58" i="10"/>
  <c r="AK54" i="10"/>
  <c r="AK53" i="10"/>
  <c r="AK52" i="10"/>
  <c r="AK51" i="10"/>
  <c r="AK48" i="10"/>
  <c r="AK47" i="10"/>
  <c r="AK45" i="10"/>
  <c r="AK44" i="10"/>
  <c r="AK43" i="10"/>
  <c r="AK34" i="10"/>
  <c r="AK32" i="10"/>
  <c r="AK31" i="10"/>
  <c r="AK30" i="10"/>
  <c r="AK27" i="10"/>
  <c r="AK26" i="10"/>
  <c r="AK25" i="10"/>
  <c r="AK23" i="10"/>
  <c r="AK22" i="10"/>
  <c r="AK20" i="10"/>
  <c r="AK19" i="10"/>
  <c r="AK18" i="10"/>
  <c r="AK16" i="10"/>
  <c r="AK15" i="10"/>
  <c r="AK13" i="10"/>
  <c r="R65" i="10"/>
  <c r="R59" i="10"/>
  <c r="R50" i="10"/>
  <c r="R46" i="10"/>
  <c r="R42" i="10"/>
  <c r="R24" i="10"/>
  <c r="AK24" i="10" s="1"/>
  <c r="R21" i="10"/>
  <c r="AK67" i="1"/>
  <c r="AK66" i="1"/>
  <c r="AK63" i="1"/>
  <c r="AK62" i="1"/>
  <c r="AK61" i="1"/>
  <c r="AK60" i="1"/>
  <c r="AK58" i="1"/>
  <c r="AK54" i="1"/>
  <c r="AK53" i="1"/>
  <c r="AK52" i="1"/>
  <c r="AK51" i="1"/>
  <c r="AK48" i="1"/>
  <c r="AK47" i="1"/>
  <c r="AK45" i="1"/>
  <c r="AK44" i="1"/>
  <c r="AK43" i="1"/>
  <c r="AK34" i="1"/>
  <c r="AK32" i="1"/>
  <c r="AK31" i="1"/>
  <c r="AK30" i="1"/>
  <c r="AK27" i="1"/>
  <c r="AK26" i="1"/>
  <c r="AK25" i="1"/>
  <c r="AK23" i="1"/>
  <c r="AK22" i="1"/>
  <c r="AK20" i="1"/>
  <c r="AK19" i="1"/>
  <c r="AK18" i="1"/>
  <c r="AK16" i="1"/>
  <c r="AK15" i="1"/>
  <c r="AK13" i="1"/>
  <c r="R74" i="1"/>
  <c r="R65" i="1"/>
  <c r="R59" i="1"/>
  <c r="AK59" i="1" s="1"/>
  <c r="R50" i="1"/>
  <c r="R46" i="1"/>
  <c r="Q75" i="10"/>
  <c r="Q74" i="10"/>
  <c r="Q75" i="1"/>
  <c r="Q74" i="1"/>
  <c r="Q17" i="1"/>
  <c r="AJ34" i="1"/>
  <c r="Q14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X65" i="1"/>
  <c r="AJ63" i="1"/>
  <c r="AI63" i="1"/>
  <c r="AH63" i="1"/>
  <c r="AG63" i="1"/>
  <c r="AF63" i="1"/>
  <c r="AE63" i="1"/>
  <c r="AB63" i="1"/>
  <c r="AA63" i="1"/>
  <c r="Z63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AJ61" i="1"/>
  <c r="AI61" i="1"/>
  <c r="AH61" i="1"/>
  <c r="AG61" i="1"/>
  <c r="AF61" i="1"/>
  <c r="AE61" i="1"/>
  <c r="AD61" i="1"/>
  <c r="AC61" i="1"/>
  <c r="AB61" i="1"/>
  <c r="AA61" i="1"/>
  <c r="X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AJ54" i="1"/>
  <c r="AH54" i="1"/>
  <c r="AG54" i="1"/>
  <c r="AD54" i="1"/>
  <c r="AC54" i="1"/>
  <c r="AB54" i="1"/>
  <c r="AA54" i="1"/>
  <c r="Z54" i="1"/>
  <c r="Y54" i="1"/>
  <c r="X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J27" i="1"/>
  <c r="AI27" i="1"/>
  <c r="AH27" i="1"/>
  <c r="AG27" i="1"/>
  <c r="AF27" i="1"/>
  <c r="AE27" i="1"/>
  <c r="AD27" i="1"/>
  <c r="AA27" i="1"/>
  <c r="Z27" i="1"/>
  <c r="Y27" i="1"/>
  <c r="X27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AJ13" i="1"/>
  <c r="AI13" i="1"/>
  <c r="AH13" i="1"/>
  <c r="AG13" i="1"/>
  <c r="AF13" i="1"/>
  <c r="AE13" i="1"/>
  <c r="AD13" i="1"/>
  <c r="AA13" i="1"/>
  <c r="Z13" i="1"/>
  <c r="Y13" i="1"/>
  <c r="X13" i="1"/>
  <c r="W67" i="1"/>
  <c r="W66" i="1"/>
  <c r="W65" i="1"/>
  <c r="W63" i="1"/>
  <c r="W62" i="1"/>
  <c r="W60" i="1"/>
  <c r="W58" i="1"/>
  <c r="W54" i="1"/>
  <c r="W53" i="1"/>
  <c r="W52" i="1"/>
  <c r="W51" i="1"/>
  <c r="W48" i="1"/>
  <c r="W47" i="1"/>
  <c r="W45" i="1"/>
  <c r="W44" i="1"/>
  <c r="W43" i="1"/>
  <c r="W34" i="1"/>
  <c r="W32" i="1"/>
  <c r="W31" i="1"/>
  <c r="W30" i="1"/>
  <c r="W27" i="1"/>
  <c r="W26" i="1"/>
  <c r="W25" i="1"/>
  <c r="W23" i="1"/>
  <c r="W22" i="1"/>
  <c r="W20" i="1"/>
  <c r="W19" i="1"/>
  <c r="W18" i="1"/>
  <c r="W16" i="1"/>
  <c r="W15" i="1"/>
  <c r="W13" i="1"/>
  <c r="O74" i="1"/>
  <c r="O65" i="1"/>
  <c r="AH65" i="1" s="1"/>
  <c r="O59" i="1"/>
  <c r="O56" i="1"/>
  <c r="O50" i="1"/>
  <c r="O46" i="1"/>
  <c r="O40" i="1" s="1"/>
  <c r="AH40" i="1" s="1"/>
  <c r="O42" i="1"/>
  <c r="AH42" i="1"/>
  <c r="O24" i="1"/>
  <c r="AH24" i="1" s="1"/>
  <c r="O21" i="1"/>
  <c r="O17" i="1"/>
  <c r="AH17" i="1" s="1"/>
  <c r="O14" i="1"/>
  <c r="N74" i="1"/>
  <c r="N65" i="1"/>
  <c r="N59" i="1"/>
  <c r="AG59" i="1" s="1"/>
  <c r="N56" i="1"/>
  <c r="AH56" i="1" s="1"/>
  <c r="N50" i="1"/>
  <c r="N46" i="1"/>
  <c r="N42" i="1"/>
  <c r="AG42" i="1"/>
  <c r="N24" i="1"/>
  <c r="N21" i="1"/>
  <c r="AH21" i="1" s="1"/>
  <c r="N17" i="1"/>
  <c r="N14" i="1"/>
  <c r="M74" i="1"/>
  <c r="M65" i="1"/>
  <c r="AF65" i="1" s="1"/>
  <c r="M59" i="1"/>
  <c r="AF59" i="1" s="1"/>
  <c r="M56" i="1"/>
  <c r="AF56" i="1" s="1"/>
  <c r="M50" i="1"/>
  <c r="M46" i="1"/>
  <c r="M40" i="1" s="1"/>
  <c r="AF40" i="1" s="1"/>
  <c r="M42" i="1"/>
  <c r="M24" i="1"/>
  <c r="M21" i="1"/>
  <c r="AF21" i="1" s="1"/>
  <c r="M17" i="1"/>
  <c r="AF17" i="1" s="1"/>
  <c r="M14" i="1"/>
  <c r="AG14" i="1" s="1"/>
  <c r="L74" i="1"/>
  <c r="L65" i="1"/>
  <c r="AE65" i="1" s="1"/>
  <c r="L59" i="1"/>
  <c r="L56" i="1"/>
  <c r="L54" i="1"/>
  <c r="AF54" i="1" s="1"/>
  <c r="L50" i="1"/>
  <c r="AF50" i="1" s="1"/>
  <c r="L46" i="1"/>
  <c r="L42" i="1"/>
  <c r="AF42" i="1" s="1"/>
  <c r="L24" i="1"/>
  <c r="AE24" i="1" s="1"/>
  <c r="L21" i="1"/>
  <c r="L12" i="1" s="1"/>
  <c r="L17" i="1"/>
  <c r="AE17" i="1"/>
  <c r="L14" i="1"/>
  <c r="AE14" i="1" s="1"/>
  <c r="K75" i="1"/>
  <c r="K74" i="1"/>
  <c r="K65" i="1"/>
  <c r="K59" i="1"/>
  <c r="AE59" i="1" s="1"/>
  <c r="K56" i="1"/>
  <c r="AE56" i="1" s="1"/>
  <c r="K50" i="1"/>
  <c r="K46" i="1"/>
  <c r="K40" i="1" s="1"/>
  <c r="K42" i="1"/>
  <c r="AD42" i="1" s="1"/>
  <c r="K24" i="1"/>
  <c r="K12" i="1" s="1"/>
  <c r="K21" i="1"/>
  <c r="K17" i="1"/>
  <c r="K14" i="1"/>
  <c r="J75" i="1"/>
  <c r="J74" i="1"/>
  <c r="J65" i="1"/>
  <c r="AC65" i="1" s="1"/>
  <c r="J63" i="1"/>
  <c r="AC63" i="1" s="1"/>
  <c r="J59" i="1"/>
  <c r="J56" i="1" s="1"/>
  <c r="AC56" i="1" s="1"/>
  <c r="J50" i="1"/>
  <c r="J40" i="1"/>
  <c r="J36" i="1" s="1"/>
  <c r="J46" i="1"/>
  <c r="J42" i="1"/>
  <c r="J24" i="1"/>
  <c r="AC24" i="1" s="1"/>
  <c r="J21" i="1"/>
  <c r="J17" i="1"/>
  <c r="J14" i="1"/>
  <c r="I75" i="1"/>
  <c r="I74" i="1"/>
  <c r="I65" i="1"/>
  <c r="I59" i="1"/>
  <c r="I56" i="1"/>
  <c r="I50" i="1"/>
  <c r="I46" i="1"/>
  <c r="I40" i="1" s="1"/>
  <c r="I42" i="1"/>
  <c r="I27" i="1"/>
  <c r="AB27" i="1" s="1"/>
  <c r="AC27" i="1"/>
  <c r="I24" i="1"/>
  <c r="AB24" i="1" s="1"/>
  <c r="I21" i="1"/>
  <c r="AB21" i="1" s="1"/>
  <c r="I17" i="1"/>
  <c r="I14" i="1"/>
  <c r="I13" i="1"/>
  <c r="AC13" i="1"/>
  <c r="H74" i="1"/>
  <c r="H65" i="1"/>
  <c r="AA65" i="1" s="1"/>
  <c r="H59" i="1"/>
  <c r="H56" i="1"/>
  <c r="H50" i="1"/>
  <c r="AA50" i="1" s="1"/>
  <c r="H46" i="1"/>
  <c r="AA46" i="1" s="1"/>
  <c r="H42" i="1"/>
  <c r="AB42" i="1" s="1"/>
  <c r="H24" i="1"/>
  <c r="H21" i="1"/>
  <c r="H17" i="1"/>
  <c r="AA17" i="1" s="1"/>
  <c r="H14" i="1"/>
  <c r="AB14" i="1" s="1"/>
  <c r="G74" i="1"/>
  <c r="G65" i="1"/>
  <c r="G59" i="1"/>
  <c r="G56" i="1"/>
  <c r="G50" i="1"/>
  <c r="Z50" i="1" s="1"/>
  <c r="G46" i="1"/>
  <c r="G40" i="1" s="1"/>
  <c r="G42" i="1"/>
  <c r="G24" i="1"/>
  <c r="AA24" i="1"/>
  <c r="G21" i="1"/>
  <c r="AA21" i="1" s="1"/>
  <c r="G17" i="1"/>
  <c r="G14" i="1"/>
  <c r="G12" i="1" s="1"/>
  <c r="F74" i="1"/>
  <c r="F65" i="1"/>
  <c r="Y65" i="1"/>
  <c r="F61" i="1"/>
  <c r="F59" i="1" s="1"/>
  <c r="F50" i="1"/>
  <c r="F46" i="1"/>
  <c r="F40" i="1"/>
  <c r="F42" i="1"/>
  <c r="Z42" i="1" s="1"/>
  <c r="F24" i="1"/>
  <c r="F21" i="1"/>
  <c r="Y21" i="1" s="1"/>
  <c r="F17" i="1"/>
  <c r="F14" i="1"/>
  <c r="E63" i="1"/>
  <c r="E59" i="1"/>
  <c r="E56" i="1" s="1"/>
  <c r="X56" i="1" s="1"/>
  <c r="E50" i="1"/>
  <c r="E46" i="1"/>
  <c r="E40" i="1"/>
  <c r="X40" i="1" s="1"/>
  <c r="E42" i="1"/>
  <c r="E24" i="1"/>
  <c r="Y24" i="1"/>
  <c r="E21" i="1"/>
  <c r="E17" i="1"/>
  <c r="Y17" i="1"/>
  <c r="E14" i="1"/>
  <c r="E12" i="1" s="1"/>
  <c r="X14" i="1"/>
  <c r="D59" i="1"/>
  <c r="D56" i="1"/>
  <c r="D50" i="1"/>
  <c r="X50" i="1" s="1"/>
  <c r="W50" i="1"/>
  <c r="D46" i="1"/>
  <c r="D42" i="1"/>
  <c r="D24" i="1"/>
  <c r="W24" i="1"/>
  <c r="D21" i="1"/>
  <c r="W21" i="1" s="1"/>
  <c r="D17" i="1"/>
  <c r="W17" i="1" s="1"/>
  <c r="D14" i="1"/>
  <c r="W14" i="1"/>
  <c r="C61" i="1"/>
  <c r="C59" i="1" s="1"/>
  <c r="W61" i="1"/>
  <c r="C50" i="1"/>
  <c r="C46" i="1"/>
  <c r="C42" i="1"/>
  <c r="W42" i="1" s="1"/>
  <c r="C11" i="1"/>
  <c r="C9" i="1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AJ66" i="10"/>
  <c r="AI66" i="10"/>
  <c r="AH66" i="10"/>
  <c r="AG66" i="10"/>
  <c r="AF66" i="10"/>
  <c r="AE66" i="10"/>
  <c r="AD66" i="10"/>
  <c r="AC66" i="10"/>
  <c r="AB66" i="10"/>
  <c r="AA66" i="10"/>
  <c r="Z66" i="10"/>
  <c r="Y66" i="10"/>
  <c r="X66" i="10"/>
  <c r="X65" i="10"/>
  <c r="AJ63" i="10"/>
  <c r="AI63" i="10"/>
  <c r="AH63" i="10"/>
  <c r="AG63" i="10"/>
  <c r="AF63" i="10"/>
  <c r="AE63" i="10"/>
  <c r="AD63" i="10"/>
  <c r="AC63" i="10"/>
  <c r="AB63" i="10"/>
  <c r="AA63" i="10"/>
  <c r="Z63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AJ61" i="10"/>
  <c r="AI61" i="10"/>
  <c r="AH61" i="10"/>
  <c r="AG61" i="10"/>
  <c r="AF61" i="10"/>
  <c r="AE61" i="10"/>
  <c r="AD61" i="10"/>
  <c r="AC61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AJ27" i="10"/>
  <c r="AI27" i="10"/>
  <c r="AH27" i="10"/>
  <c r="AG27" i="10"/>
  <c r="AF27" i="10"/>
  <c r="AE27" i="10"/>
  <c r="AD27" i="10"/>
  <c r="AA27" i="10"/>
  <c r="Z27" i="10"/>
  <c r="Y27" i="10"/>
  <c r="X27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AJ13" i="10"/>
  <c r="AI13" i="10"/>
  <c r="AH13" i="10"/>
  <c r="AG13" i="10"/>
  <c r="AF13" i="10"/>
  <c r="AE13" i="10"/>
  <c r="AD13" i="10"/>
  <c r="AA13" i="10"/>
  <c r="Z13" i="10"/>
  <c r="Y13" i="10"/>
  <c r="X13" i="10"/>
  <c r="W67" i="10"/>
  <c r="W66" i="10"/>
  <c r="W65" i="10"/>
  <c r="W63" i="10"/>
  <c r="W62" i="10"/>
  <c r="W60" i="10"/>
  <c r="W58" i="10"/>
  <c r="W54" i="10"/>
  <c r="W53" i="10"/>
  <c r="W52" i="10"/>
  <c r="W51" i="10"/>
  <c r="W48" i="10"/>
  <c r="W47" i="10"/>
  <c r="W45" i="10"/>
  <c r="W44" i="10"/>
  <c r="W43" i="10"/>
  <c r="W34" i="10"/>
  <c r="W32" i="10"/>
  <c r="W31" i="10"/>
  <c r="W30" i="10"/>
  <c r="W27" i="10"/>
  <c r="W26" i="10"/>
  <c r="W25" i="10"/>
  <c r="W23" i="10"/>
  <c r="W22" i="10"/>
  <c r="W20" i="10"/>
  <c r="W19" i="10"/>
  <c r="W18" i="10"/>
  <c r="W16" i="10"/>
  <c r="W15" i="10"/>
  <c r="W13" i="10"/>
  <c r="O74" i="10"/>
  <c r="O65" i="10"/>
  <c r="O59" i="10"/>
  <c r="AH59" i="10" s="1"/>
  <c r="O56" i="10"/>
  <c r="AH56" i="10" s="1"/>
  <c r="O50" i="10"/>
  <c r="O46" i="10"/>
  <c r="O42" i="10"/>
  <c r="O24" i="10"/>
  <c r="AH24" i="10" s="1"/>
  <c r="O21" i="10"/>
  <c r="O17" i="10"/>
  <c r="O12" i="10" s="1"/>
  <c r="O14" i="10"/>
  <c r="AI14" i="10" s="1"/>
  <c r="N74" i="10"/>
  <c r="N65" i="10"/>
  <c r="N59" i="10"/>
  <c r="N56" i="10"/>
  <c r="N50" i="10"/>
  <c r="N46" i="10"/>
  <c r="N40" i="10" s="1"/>
  <c r="AG40" i="10" s="1"/>
  <c r="N42" i="10"/>
  <c r="AG42" i="10" s="1"/>
  <c r="N24" i="10"/>
  <c r="N21" i="10"/>
  <c r="AG21" i="10" s="1"/>
  <c r="AH21" i="10"/>
  <c r="N17" i="10"/>
  <c r="AG17" i="10" s="1"/>
  <c r="N14" i="10"/>
  <c r="AH14" i="10"/>
  <c r="M74" i="10"/>
  <c r="M65" i="10"/>
  <c r="AF65" i="10" s="1"/>
  <c r="M59" i="10"/>
  <c r="AF59" i="10"/>
  <c r="M50" i="10"/>
  <c r="AF50" i="10" s="1"/>
  <c r="M46" i="10"/>
  <c r="AF46" i="10" s="1"/>
  <c r="M40" i="10"/>
  <c r="M36" i="10" s="1"/>
  <c r="M42" i="10"/>
  <c r="M24" i="10"/>
  <c r="AF24" i="10" s="1"/>
  <c r="M21" i="10"/>
  <c r="AF21" i="10" s="1"/>
  <c r="M17" i="10"/>
  <c r="M14" i="10"/>
  <c r="L74" i="10"/>
  <c r="L65" i="10"/>
  <c r="L59" i="10"/>
  <c r="L56" i="10"/>
  <c r="L50" i="10"/>
  <c r="AE50" i="10" s="1"/>
  <c r="L46" i="10"/>
  <c r="L40" i="10" s="1"/>
  <c r="L42" i="10"/>
  <c r="AE42" i="10" s="1"/>
  <c r="L24" i="10"/>
  <c r="AE24" i="10" s="1"/>
  <c r="L21" i="10"/>
  <c r="AE21" i="10" s="1"/>
  <c r="L17" i="10"/>
  <c r="L14" i="10"/>
  <c r="K75" i="10"/>
  <c r="K74" i="10"/>
  <c r="K65" i="10"/>
  <c r="AE65" i="10" s="1"/>
  <c r="K59" i="10"/>
  <c r="K56" i="10"/>
  <c r="AE56" i="10" s="1"/>
  <c r="K50" i="10"/>
  <c r="K46" i="10"/>
  <c r="K42" i="10"/>
  <c r="AD42" i="10" s="1"/>
  <c r="K24" i="10"/>
  <c r="AD24" i="10" s="1"/>
  <c r="K21" i="10"/>
  <c r="AD21" i="10" s="1"/>
  <c r="K17" i="10"/>
  <c r="K14" i="10"/>
  <c r="J75" i="10"/>
  <c r="J74" i="10"/>
  <c r="J65" i="10"/>
  <c r="AC65" i="10" s="1"/>
  <c r="J59" i="10"/>
  <c r="AC59" i="10" s="1"/>
  <c r="J50" i="10"/>
  <c r="AC50" i="10" s="1"/>
  <c r="J46" i="10"/>
  <c r="J40" i="10" s="1"/>
  <c r="AC40" i="10" s="1"/>
  <c r="J42" i="10"/>
  <c r="J24" i="10"/>
  <c r="J21" i="10"/>
  <c r="J17" i="10"/>
  <c r="J14" i="10"/>
  <c r="AD14" i="10"/>
  <c r="I75" i="10"/>
  <c r="I74" i="10"/>
  <c r="I65" i="10"/>
  <c r="I59" i="10"/>
  <c r="I56" i="10" s="1"/>
  <c r="I50" i="10"/>
  <c r="I46" i="10"/>
  <c r="I40" i="10" s="1"/>
  <c r="AB40" i="10" s="1"/>
  <c r="I42" i="10"/>
  <c r="I27" i="10"/>
  <c r="AC27" i="10"/>
  <c r="I24" i="10"/>
  <c r="AB24" i="10" s="1"/>
  <c r="I21" i="10"/>
  <c r="I17" i="10"/>
  <c r="AB17" i="10" s="1"/>
  <c r="AC17" i="10"/>
  <c r="I14" i="10"/>
  <c r="I13" i="10"/>
  <c r="H74" i="10"/>
  <c r="H65" i="10"/>
  <c r="H61" i="10"/>
  <c r="AB61" i="10"/>
  <c r="H50" i="10"/>
  <c r="AB50" i="10" s="1"/>
  <c r="H46" i="10"/>
  <c r="H40" i="10" s="1"/>
  <c r="H42" i="10"/>
  <c r="AB42" i="10"/>
  <c r="H24" i="10"/>
  <c r="H21" i="10"/>
  <c r="AA21" i="10" s="1"/>
  <c r="H17" i="10"/>
  <c r="AA17" i="10" s="1"/>
  <c r="H14" i="10"/>
  <c r="G74" i="10"/>
  <c r="G65" i="10"/>
  <c r="AA65" i="10" s="1"/>
  <c r="G61" i="10"/>
  <c r="Z61" i="10" s="1"/>
  <c r="G59" i="10"/>
  <c r="G56" i="10" s="1"/>
  <c r="G50" i="10"/>
  <c r="G46" i="10"/>
  <c r="Z46" i="10" s="1"/>
  <c r="G42" i="10"/>
  <c r="AA42" i="10" s="1"/>
  <c r="G24" i="10"/>
  <c r="Z24" i="10" s="1"/>
  <c r="G21" i="10"/>
  <c r="G17" i="10"/>
  <c r="G14" i="10"/>
  <c r="F74" i="10"/>
  <c r="F65" i="10"/>
  <c r="Y65" i="10"/>
  <c r="F61" i="10"/>
  <c r="F59" i="10" s="1"/>
  <c r="F50" i="10"/>
  <c r="Y50" i="10" s="1"/>
  <c r="F46" i="10"/>
  <c r="Y46" i="10" s="1"/>
  <c r="F42" i="10"/>
  <c r="F24" i="10"/>
  <c r="F21" i="10"/>
  <c r="F17" i="10"/>
  <c r="Y17" i="10" s="1"/>
  <c r="F14" i="10"/>
  <c r="Y14" i="10" s="1"/>
  <c r="E63" i="10"/>
  <c r="E59" i="10" s="1"/>
  <c r="Y63" i="10"/>
  <c r="E61" i="10"/>
  <c r="E50" i="10"/>
  <c r="E46" i="10"/>
  <c r="E42" i="10"/>
  <c r="X42" i="10" s="1"/>
  <c r="E24" i="10"/>
  <c r="E21" i="10"/>
  <c r="E17" i="10"/>
  <c r="E14" i="10"/>
  <c r="X14" i="10" s="1"/>
  <c r="D61" i="10"/>
  <c r="W61" i="10" s="1"/>
  <c r="D50" i="10"/>
  <c r="D46" i="10"/>
  <c r="D40" i="10" s="1"/>
  <c r="D42" i="10"/>
  <c r="W42" i="10" s="1"/>
  <c r="D24" i="10"/>
  <c r="D21" i="10"/>
  <c r="W21" i="10" s="1"/>
  <c r="D17" i="10"/>
  <c r="W17" i="10"/>
  <c r="D14" i="10"/>
  <c r="W14" i="10"/>
  <c r="C61" i="10"/>
  <c r="C59" i="10"/>
  <c r="C56" i="10" s="1"/>
  <c r="C36" i="10" s="1"/>
  <c r="C38" i="10" s="1"/>
  <c r="C50" i="10"/>
  <c r="C46" i="10"/>
  <c r="C40" i="10" s="1"/>
  <c r="C42" i="10"/>
  <c r="C11" i="10"/>
  <c r="C9" i="10" s="1"/>
  <c r="P74" i="1"/>
  <c r="P24" i="1"/>
  <c r="AI24" i="1"/>
  <c r="P65" i="1"/>
  <c r="P59" i="1"/>
  <c r="P56" i="1"/>
  <c r="AJ56" i="1" s="1"/>
  <c r="P50" i="1"/>
  <c r="P40" i="1" s="1"/>
  <c r="AI40" i="1" s="1"/>
  <c r="P46" i="1"/>
  <c r="AI42" i="1"/>
  <c r="P21" i="1"/>
  <c r="AI21" i="1" s="1"/>
  <c r="P17" i="1"/>
  <c r="AI17" i="1" s="1"/>
  <c r="P14" i="1"/>
  <c r="AJ14" i="1" s="1"/>
  <c r="AI14" i="1"/>
  <c r="P65" i="10"/>
  <c r="P59" i="10"/>
  <c r="AI59" i="10"/>
  <c r="P50" i="10"/>
  <c r="AI50" i="10" s="1"/>
  <c r="P46" i="10"/>
  <c r="AI46" i="10" s="1"/>
  <c r="P42" i="10"/>
  <c r="AI42" i="10"/>
  <c r="P24" i="10"/>
  <c r="AJ24" i="10"/>
  <c r="P21" i="10"/>
  <c r="P17" i="10"/>
  <c r="AI17" i="10" s="1"/>
  <c r="P14" i="10"/>
  <c r="Q65" i="10"/>
  <c r="AK65" i="10" s="1"/>
  <c r="Q59" i="10"/>
  <c r="AJ59" i="10"/>
  <c r="Q50" i="10"/>
  <c r="AK50" i="10" s="1"/>
  <c r="Q46" i="10"/>
  <c r="AK46" i="10" s="1"/>
  <c r="Q42" i="10"/>
  <c r="Q24" i="10"/>
  <c r="Q21" i="10"/>
  <c r="AJ21" i="10" s="1"/>
  <c r="Q17" i="10"/>
  <c r="AK17" i="10" s="1"/>
  <c r="Q14" i="10"/>
  <c r="Q65" i="1"/>
  <c r="AJ65" i="1" s="1"/>
  <c r="Q59" i="1"/>
  <c r="AJ59" i="1" s="1"/>
  <c r="Q50" i="1"/>
  <c r="AK50" i="1" s="1"/>
  <c r="Q46" i="1"/>
  <c r="AJ46" i="1" s="1"/>
  <c r="AK42" i="1"/>
  <c r="AJ42" i="1"/>
  <c r="Q24" i="1"/>
  <c r="AK24" i="1"/>
  <c r="Q21" i="1"/>
  <c r="AK21" i="1" s="1"/>
  <c r="P74" i="10"/>
  <c r="Y42" i="1"/>
  <c r="X21" i="1"/>
  <c r="AE46" i="1"/>
  <c r="X42" i="1"/>
  <c r="Z14" i="1"/>
  <c r="AG46" i="1"/>
  <c r="Y63" i="1"/>
  <c r="AA61" i="10"/>
  <c r="AB27" i="10"/>
  <c r="H40" i="1"/>
  <c r="Q56" i="1"/>
  <c r="S56" i="1"/>
  <c r="X63" i="1"/>
  <c r="AI65" i="1"/>
  <c r="AL21" i="1"/>
  <c r="AB59" i="1"/>
  <c r="W46" i="1"/>
  <c r="Y14" i="1"/>
  <c r="AG21" i="1"/>
  <c r="AH14" i="1"/>
  <c r="AD21" i="1"/>
  <c r="AG24" i="1"/>
  <c r="AL65" i="1"/>
  <c r="X24" i="1"/>
  <c r="AH59" i="1"/>
  <c r="AC50" i="1"/>
  <c r="AF46" i="1"/>
  <c r="AH50" i="1"/>
  <c r="AD46" i="1"/>
  <c r="AD50" i="1"/>
  <c r="AL17" i="1"/>
  <c r="C40" i="1"/>
  <c r="R40" i="1"/>
  <c r="AI59" i="1"/>
  <c r="AA14" i="1"/>
  <c r="E11" i="1"/>
  <c r="AA59" i="1"/>
  <c r="F12" i="1"/>
  <c r="F11" i="1" s="1"/>
  <c r="AG17" i="1"/>
  <c r="R12" i="1"/>
  <c r="R11" i="1"/>
  <c r="AL46" i="1"/>
  <c r="H59" i="10"/>
  <c r="H56" i="10" s="1"/>
  <c r="AI65" i="10"/>
  <c r="AL59" i="10"/>
  <c r="AJ17" i="10"/>
  <c r="AA50" i="10"/>
  <c r="P56" i="10"/>
  <c r="AI56" i="10" s="1"/>
  <c r="AF14" i="10"/>
  <c r="AL46" i="10"/>
  <c r="AJ14" i="10"/>
  <c r="AF17" i="10"/>
  <c r="X17" i="10"/>
  <c r="AG24" i="10"/>
  <c r="R56" i="10"/>
  <c r="AK56" i="10" s="1"/>
  <c r="AL21" i="10"/>
  <c r="R40" i="10"/>
  <c r="X63" i="10"/>
  <c r="T56" i="10"/>
  <c r="AN56" i="10" s="1"/>
  <c r="AM46" i="10"/>
  <c r="AM50" i="1"/>
  <c r="X59" i="1"/>
  <c r="AL40" i="1"/>
  <c r="S36" i="1"/>
  <c r="S38" i="1" s="1"/>
  <c r="AL38" i="1" s="1"/>
  <c r="T11" i="1"/>
  <c r="T9" i="1" s="1"/>
  <c r="AE54" i="1"/>
  <c r="AC46" i="1"/>
  <c r="AL50" i="1"/>
  <c r="Z17" i="1"/>
  <c r="X46" i="1"/>
  <c r="AB65" i="1"/>
  <c r="AJ24" i="1"/>
  <c r="AK14" i="1"/>
  <c r="AM14" i="1"/>
  <c r="AM24" i="10"/>
  <c r="K40" i="10"/>
  <c r="AD40" i="10" s="1"/>
  <c r="Q56" i="10"/>
  <c r="AJ56" i="10"/>
  <c r="S56" i="10"/>
  <c r="Y24" i="10"/>
  <c r="Z21" i="10"/>
  <c r="AC42" i="10"/>
  <c r="AK59" i="10"/>
  <c r="Z42" i="10"/>
  <c r="AL24" i="10"/>
  <c r="AB65" i="10"/>
  <c r="K12" i="10"/>
  <c r="K11" i="10" s="1"/>
  <c r="K9" i="10" s="1"/>
  <c r="AJ42" i="10"/>
  <c r="P40" i="10"/>
  <c r="AI40" i="10" s="1"/>
  <c r="S40" i="10"/>
  <c r="S36" i="10" s="1"/>
  <c r="S38" i="10" s="1"/>
  <c r="AD65" i="10"/>
  <c r="AL50" i="10"/>
  <c r="AM14" i="10"/>
  <c r="Z17" i="10"/>
  <c r="AE46" i="10"/>
  <c r="AB46" i="10"/>
  <c r="W46" i="10"/>
  <c r="X21" i="10"/>
  <c r="Z65" i="10"/>
  <c r="AD17" i="10"/>
  <c r="AK21" i="10"/>
  <c r="J12" i="10"/>
  <c r="AD12" i="10" s="1"/>
  <c r="AM42" i="10"/>
  <c r="W50" i="10"/>
  <c r="AA14" i="10"/>
  <c r="X50" i="10"/>
  <c r="G12" i="10"/>
  <c r="G11" i="10"/>
  <c r="G9" i="10" s="1"/>
  <c r="AH65" i="10"/>
  <c r="AM40" i="10"/>
  <c r="N36" i="10"/>
  <c r="AG65" i="10"/>
  <c r="O40" i="10"/>
  <c r="AK42" i="10"/>
  <c r="AE17" i="10"/>
  <c r="M56" i="10"/>
  <c r="AF56" i="10"/>
  <c r="Y21" i="10"/>
  <c r="G40" i="10"/>
  <c r="AA40" i="10" s="1"/>
  <c r="T12" i="10"/>
  <c r="AB14" i="10"/>
  <c r="AH50" i="10"/>
  <c r="E40" i="10"/>
  <c r="X40" i="10" s="1"/>
  <c r="AL65" i="10"/>
  <c r="AG46" i="10"/>
  <c r="AA46" i="10"/>
  <c r="AC24" i="10"/>
  <c r="AG59" i="10"/>
  <c r="P12" i="10"/>
  <c r="AE14" i="10"/>
  <c r="Z50" i="10"/>
  <c r="AC14" i="10"/>
  <c r="Y42" i="10"/>
  <c r="O36" i="10"/>
  <c r="O38" i="10" s="1"/>
  <c r="AG56" i="10"/>
  <c r="T11" i="10"/>
  <c r="T9" i="10" s="1"/>
  <c r="U56" i="1"/>
  <c r="U36" i="1" s="1"/>
  <c r="AN56" i="1"/>
  <c r="AN59" i="10"/>
  <c r="U40" i="10"/>
  <c r="U36" i="10" s="1"/>
  <c r="AN40" i="10"/>
  <c r="AE50" i="1"/>
  <c r="L40" i="1"/>
  <c r="L36" i="1" s="1"/>
  <c r="R9" i="1"/>
  <c r="AI56" i="1"/>
  <c r="U40" i="1"/>
  <c r="AL59" i="1"/>
  <c r="AM56" i="1"/>
  <c r="AB13" i="1"/>
  <c r="N40" i="1"/>
  <c r="AG40" i="1" s="1"/>
  <c r="AJ50" i="1"/>
  <c r="Q12" i="1"/>
  <c r="AK12" i="1" s="1"/>
  <c r="P36" i="1"/>
  <c r="AK17" i="1"/>
  <c r="Y50" i="1"/>
  <c r="Y46" i="1"/>
  <c r="Z24" i="1"/>
  <c r="D40" i="1"/>
  <c r="D36" i="1" s="1"/>
  <c r="AC42" i="1"/>
  <c r="R56" i="1"/>
  <c r="P38" i="1"/>
  <c r="AL56" i="1"/>
  <c r="R36" i="1"/>
  <c r="R71" i="1" s="1"/>
  <c r="AK56" i="1"/>
  <c r="W40" i="1"/>
  <c r="R38" i="1"/>
  <c r="AN21" i="10"/>
  <c r="AN24" i="10"/>
  <c r="U12" i="10"/>
  <c r="U11" i="10" s="1"/>
  <c r="AN12" i="10"/>
  <c r="U12" i="1"/>
  <c r="AN12" i="1"/>
  <c r="U11" i="1"/>
  <c r="U9" i="1" s="1"/>
  <c r="AN11" i="1"/>
  <c r="L10" i="11" l="1"/>
  <c r="N12" i="11"/>
  <c r="E10" i="11"/>
  <c r="G12" i="11"/>
  <c r="V36" i="10"/>
  <c r="V38" i="10" s="1"/>
  <c r="AO38" i="10" s="1"/>
  <c r="V56" i="1"/>
  <c r="AO56" i="1" s="1"/>
  <c r="V40" i="1"/>
  <c r="AO46" i="1"/>
  <c r="V12" i="1"/>
  <c r="V11" i="1" s="1"/>
  <c r="V9" i="1" s="1"/>
  <c r="AO9" i="1" s="1"/>
  <c r="AO9" i="10"/>
  <c r="AO12" i="10"/>
  <c r="AO11" i="10"/>
  <c r="M38" i="10"/>
  <c r="L36" i="10"/>
  <c r="AE40" i="10"/>
  <c r="O11" i="10"/>
  <c r="AA56" i="10"/>
  <c r="H36" i="10"/>
  <c r="Y59" i="10"/>
  <c r="F56" i="10"/>
  <c r="Y56" i="10" s="1"/>
  <c r="Z59" i="10"/>
  <c r="AG36" i="10"/>
  <c r="AB56" i="10"/>
  <c r="C71" i="10"/>
  <c r="C72" i="10" s="1"/>
  <c r="C69" i="10"/>
  <c r="C70" i="10" s="1"/>
  <c r="U9" i="10"/>
  <c r="AN11" i="10"/>
  <c r="X59" i="10"/>
  <c r="E56" i="10"/>
  <c r="AI12" i="10"/>
  <c r="AM56" i="10"/>
  <c r="H12" i="10"/>
  <c r="AC13" i="10"/>
  <c r="I12" i="10"/>
  <c r="AD46" i="10"/>
  <c r="G36" i="10"/>
  <c r="AJ65" i="10"/>
  <c r="S12" i="10"/>
  <c r="AM12" i="10" s="1"/>
  <c r="AG50" i="10"/>
  <c r="K36" i="10"/>
  <c r="I36" i="10"/>
  <c r="AJ50" i="10"/>
  <c r="J56" i="10"/>
  <c r="AD50" i="10"/>
  <c r="AF42" i="10"/>
  <c r="N38" i="10"/>
  <c r="AG38" i="10" s="1"/>
  <c r="AH40" i="10"/>
  <c r="AA59" i="10"/>
  <c r="AJ46" i="10"/>
  <c r="Y61" i="10"/>
  <c r="AK14" i="10"/>
  <c r="Q12" i="10"/>
  <c r="AA24" i="10"/>
  <c r="AD59" i="10"/>
  <c r="AH42" i="10"/>
  <c r="J11" i="10"/>
  <c r="AH17" i="10"/>
  <c r="P36" i="10"/>
  <c r="AI24" i="10"/>
  <c r="F40" i="10"/>
  <c r="E12" i="10"/>
  <c r="AI21" i="10"/>
  <c r="D12" i="10"/>
  <c r="AL42" i="10"/>
  <c r="M12" i="10"/>
  <c r="AF40" i="10"/>
  <c r="X46" i="10"/>
  <c r="R36" i="10"/>
  <c r="AE59" i="10"/>
  <c r="AN65" i="10"/>
  <c r="AM65" i="10"/>
  <c r="AC12" i="10"/>
  <c r="AB21" i="10"/>
  <c r="Z14" i="10"/>
  <c r="AL40" i="10"/>
  <c r="W24" i="10"/>
  <c r="X24" i="10"/>
  <c r="AC21" i="10"/>
  <c r="Q40" i="10"/>
  <c r="R12" i="10"/>
  <c r="T36" i="10"/>
  <c r="AD56" i="10"/>
  <c r="AM17" i="10"/>
  <c r="AH46" i="10"/>
  <c r="W40" i="10"/>
  <c r="D59" i="10"/>
  <c r="AB59" i="10"/>
  <c r="X61" i="10"/>
  <c r="P11" i="10"/>
  <c r="AB13" i="10"/>
  <c r="U38" i="10"/>
  <c r="AH36" i="10"/>
  <c r="L12" i="10"/>
  <c r="AC46" i="10"/>
  <c r="AL56" i="10"/>
  <c r="F12" i="10"/>
  <c r="N12" i="10"/>
  <c r="AH12" i="10" s="1"/>
  <c r="AG14" i="10"/>
  <c r="D38" i="1"/>
  <c r="U38" i="1"/>
  <c r="C36" i="1"/>
  <c r="Z40" i="1"/>
  <c r="G36" i="1"/>
  <c r="K11" i="1"/>
  <c r="AD12" i="1"/>
  <c r="AC40" i="1"/>
  <c r="AB40" i="1"/>
  <c r="I36" i="1"/>
  <c r="S9" i="1"/>
  <c r="AL11" i="1"/>
  <c r="L38" i="1"/>
  <c r="AC36" i="1"/>
  <c r="J38" i="1"/>
  <c r="K36" i="1"/>
  <c r="AE36" i="1" s="1"/>
  <c r="AD40" i="1"/>
  <c r="AE12" i="1"/>
  <c r="L11" i="1"/>
  <c r="W59" i="1"/>
  <c r="C56" i="1"/>
  <c r="W56" i="1" s="1"/>
  <c r="AN9" i="1"/>
  <c r="U71" i="1"/>
  <c r="U69" i="1"/>
  <c r="R72" i="1"/>
  <c r="F9" i="1"/>
  <c r="Y11" i="1"/>
  <c r="Z12" i="1"/>
  <c r="G11" i="1"/>
  <c r="AF14" i="1"/>
  <c r="AL12" i="1"/>
  <c r="AB46" i="1"/>
  <c r="AK46" i="1"/>
  <c r="AB17" i="1"/>
  <c r="AE42" i="1"/>
  <c r="M12" i="1"/>
  <c r="AG65" i="1"/>
  <c r="AG50" i="1"/>
  <c r="AA42" i="1"/>
  <c r="AE21" i="1"/>
  <c r="Q40" i="1"/>
  <c r="AA56" i="1"/>
  <c r="AB56" i="1"/>
  <c r="AD17" i="1"/>
  <c r="AC17" i="1"/>
  <c r="AF24" i="1"/>
  <c r="AC14" i="1"/>
  <c r="J12" i="1"/>
  <c r="AN46" i="1"/>
  <c r="T40" i="1"/>
  <c r="Q11" i="1"/>
  <c r="AE40" i="1"/>
  <c r="R69" i="1"/>
  <c r="Y40" i="1"/>
  <c r="AM11" i="1"/>
  <c r="AI46" i="1"/>
  <c r="Z59" i="1"/>
  <c r="AC21" i="1"/>
  <c r="N12" i="1"/>
  <c r="O12" i="1"/>
  <c r="AN14" i="1"/>
  <c r="N36" i="1"/>
  <c r="Z46" i="1"/>
  <c r="AD59" i="1"/>
  <c r="AL42" i="1"/>
  <c r="Z61" i="1"/>
  <c r="AI50" i="1"/>
  <c r="X12" i="1"/>
  <c r="Z65" i="1"/>
  <c r="AN17" i="1"/>
  <c r="AM17" i="1"/>
  <c r="E9" i="1"/>
  <c r="AB50" i="1"/>
  <c r="AD65" i="1"/>
  <c r="Y61" i="1"/>
  <c r="AC59" i="1"/>
  <c r="AG56" i="1"/>
  <c r="AD14" i="1"/>
  <c r="O36" i="1"/>
  <c r="AD63" i="1"/>
  <c r="X17" i="1"/>
  <c r="Y12" i="1"/>
  <c r="P12" i="1"/>
  <c r="D12" i="1"/>
  <c r="Z21" i="1"/>
  <c r="H12" i="1"/>
  <c r="AK65" i="1"/>
  <c r="AA40" i="1"/>
  <c r="H36" i="1"/>
  <c r="AD56" i="1"/>
  <c r="M36" i="1"/>
  <c r="AL36" i="1"/>
  <c r="AM12" i="1"/>
  <c r="AJ21" i="1"/>
  <c r="I12" i="1"/>
  <c r="AH46" i="1"/>
  <c r="AJ17" i="1"/>
  <c r="E36" i="1"/>
  <c r="Y59" i="1"/>
  <c r="F56" i="1"/>
  <c r="Z56" i="1" s="1"/>
  <c r="AD24" i="1"/>
  <c r="AM24" i="1"/>
  <c r="G10" i="11" l="1"/>
  <c r="E9" i="11"/>
  <c r="G9" i="11" s="1"/>
  <c r="L9" i="11"/>
  <c r="N9" i="11" s="1"/>
  <c r="N10" i="11"/>
  <c r="AO40" i="1"/>
  <c r="V36" i="1"/>
  <c r="V38" i="1" s="1"/>
  <c r="AO38" i="1" s="1"/>
  <c r="V71" i="10"/>
  <c r="V72" i="10" s="1"/>
  <c r="AO36" i="10"/>
  <c r="V69" i="10"/>
  <c r="AO12" i="1"/>
  <c r="AO11" i="1"/>
  <c r="AJ40" i="10"/>
  <c r="Q36" i="10"/>
  <c r="AK40" i="10"/>
  <c r="AK36" i="10"/>
  <c r="R38" i="10"/>
  <c r="I11" i="10"/>
  <c r="AB12" i="10"/>
  <c r="AN9" i="10"/>
  <c r="U69" i="10"/>
  <c r="U71" i="10"/>
  <c r="O9" i="10"/>
  <c r="AH11" i="10"/>
  <c r="G38" i="10"/>
  <c r="AA36" i="10"/>
  <c r="H38" i="10"/>
  <c r="AA38" i="10" s="1"/>
  <c r="AG12" i="10"/>
  <c r="N11" i="10"/>
  <c r="AL12" i="10"/>
  <c r="S11" i="10"/>
  <c r="T38" i="10"/>
  <c r="AM36" i="10"/>
  <c r="R11" i="10"/>
  <c r="AK12" i="10"/>
  <c r="T71" i="10"/>
  <c r="W59" i="10"/>
  <c r="D56" i="10"/>
  <c r="F11" i="10"/>
  <c r="Z12" i="10"/>
  <c r="Y12" i="10"/>
  <c r="AF12" i="10"/>
  <c r="M11" i="10"/>
  <c r="AC56" i="10"/>
  <c r="J36" i="10"/>
  <c r="AH38" i="10"/>
  <c r="AE36" i="10"/>
  <c r="L38" i="10"/>
  <c r="AL36" i="10"/>
  <c r="Z56" i="10"/>
  <c r="X12" i="10"/>
  <c r="E11" i="10"/>
  <c r="Z40" i="10"/>
  <c r="Y40" i="10"/>
  <c r="F36" i="10"/>
  <c r="G71" i="10"/>
  <c r="AN38" i="10"/>
  <c r="X56" i="10"/>
  <c r="E36" i="10"/>
  <c r="AI11" i="10"/>
  <c r="P9" i="10"/>
  <c r="AI36" i="10"/>
  <c r="P38" i="10"/>
  <c r="AI38" i="10" s="1"/>
  <c r="J9" i="10"/>
  <c r="AD11" i="10"/>
  <c r="AC11" i="10"/>
  <c r="H11" i="10"/>
  <c r="AA12" i="10"/>
  <c r="AB36" i="10"/>
  <c r="I38" i="10"/>
  <c r="AB38" i="10" s="1"/>
  <c r="AE12" i="10"/>
  <c r="L11" i="10"/>
  <c r="D11" i="10"/>
  <c r="W12" i="10"/>
  <c r="AJ12" i="10"/>
  <c r="Q11" i="10"/>
  <c r="K38" i="10"/>
  <c r="K71" i="10"/>
  <c r="AF36" i="10"/>
  <c r="AN36" i="10"/>
  <c r="AF38" i="10"/>
  <c r="I11" i="1"/>
  <c r="AB12" i="1"/>
  <c r="G38" i="1"/>
  <c r="N11" i="1"/>
  <c r="AG12" i="1"/>
  <c r="Y9" i="1"/>
  <c r="F71" i="1"/>
  <c r="E71" i="1"/>
  <c r="AF12" i="1"/>
  <c r="M11" i="1"/>
  <c r="C38" i="1"/>
  <c r="C69" i="1" s="1"/>
  <c r="C70" i="1" s="1"/>
  <c r="C71" i="1"/>
  <c r="C72" i="1" s="1"/>
  <c r="O38" i="1"/>
  <c r="AH36" i="1"/>
  <c r="AI36" i="1"/>
  <c r="U70" i="1"/>
  <c r="H38" i="1"/>
  <c r="AA38" i="1" s="1"/>
  <c r="AA36" i="1"/>
  <c r="U72" i="1"/>
  <c r="W36" i="1"/>
  <c r="O11" i="1"/>
  <c r="AH12" i="1"/>
  <c r="J11" i="1"/>
  <c r="AC12" i="1"/>
  <c r="S71" i="1"/>
  <c r="AL9" i="1"/>
  <c r="S69" i="1"/>
  <c r="W38" i="1"/>
  <c r="K9" i="1"/>
  <c r="H11" i="1"/>
  <c r="AA12" i="1"/>
  <c r="I38" i="1"/>
  <c r="AB36" i="1"/>
  <c r="AM9" i="1"/>
  <c r="K38" i="1"/>
  <c r="AD38" i="1" s="1"/>
  <c r="AD36" i="1"/>
  <c r="AF36" i="1"/>
  <c r="M38" i="1"/>
  <c r="AF38" i="1" s="1"/>
  <c r="E38" i="1"/>
  <c r="X38" i="1" s="1"/>
  <c r="X36" i="1"/>
  <c r="Q9" i="1"/>
  <c r="AK11" i="1"/>
  <c r="AJ11" i="1"/>
  <c r="N38" i="1"/>
  <c r="AG36" i="1"/>
  <c r="Q36" i="1"/>
  <c r="AJ40" i="1"/>
  <c r="AK40" i="1"/>
  <c r="L9" i="1"/>
  <c r="AE11" i="1"/>
  <c r="AJ12" i="1"/>
  <c r="P11" i="1"/>
  <c r="AI12" i="1"/>
  <c r="Y56" i="1"/>
  <c r="F36" i="1"/>
  <c r="R70" i="1"/>
  <c r="D11" i="1"/>
  <c r="W12" i="1"/>
  <c r="AN40" i="1"/>
  <c r="T36" i="1"/>
  <c r="AM40" i="1"/>
  <c r="G9" i="1"/>
  <c r="Z11" i="1"/>
  <c r="AO71" i="10" l="1"/>
  <c r="AO69" i="10"/>
  <c r="V70" i="10"/>
  <c r="V71" i="1"/>
  <c r="AO71" i="1" s="1"/>
  <c r="AO36" i="1"/>
  <c r="V69" i="1"/>
  <c r="V70" i="1" s="1"/>
  <c r="E38" i="10"/>
  <c r="X36" i="10"/>
  <c r="O71" i="10"/>
  <c r="O69" i="10"/>
  <c r="Y36" i="10"/>
  <c r="F38" i="10"/>
  <c r="AM38" i="10"/>
  <c r="T69" i="10"/>
  <c r="AN69" i="10" s="1"/>
  <c r="U70" i="10"/>
  <c r="K69" i="10"/>
  <c r="Y11" i="10"/>
  <c r="F9" i="10"/>
  <c r="Z11" i="10"/>
  <c r="AN71" i="10"/>
  <c r="U72" i="10"/>
  <c r="AA11" i="10"/>
  <c r="H9" i="10"/>
  <c r="R9" i="10"/>
  <c r="AK11" i="10"/>
  <c r="J38" i="10"/>
  <c r="AC38" i="10" s="1"/>
  <c r="AC36" i="10"/>
  <c r="AF11" i="10"/>
  <c r="M9" i="10"/>
  <c r="AG11" i="10"/>
  <c r="N9" i="10"/>
  <c r="Q9" i="10"/>
  <c r="AJ11" i="10"/>
  <c r="J71" i="10"/>
  <c r="AD9" i="10"/>
  <c r="AK38" i="10"/>
  <c r="AL38" i="10"/>
  <c r="D9" i="10"/>
  <c r="W11" i="10"/>
  <c r="AI9" i="10"/>
  <c r="P69" i="10"/>
  <c r="P71" i="10"/>
  <c r="Z38" i="10"/>
  <c r="G69" i="10"/>
  <c r="AJ36" i="10"/>
  <c r="Q38" i="10"/>
  <c r="AJ38" i="10" s="1"/>
  <c r="G72" i="10"/>
  <c r="AD71" i="10"/>
  <c r="K72" i="10"/>
  <c r="S9" i="10"/>
  <c r="AL11" i="10"/>
  <c r="AM11" i="10"/>
  <c r="AD36" i="10"/>
  <c r="I9" i="10"/>
  <c r="AC9" i="10" s="1"/>
  <c r="AB11" i="10"/>
  <c r="X11" i="10"/>
  <c r="E9" i="10"/>
  <c r="W56" i="10"/>
  <c r="D36" i="10"/>
  <c r="AE11" i="10"/>
  <c r="L9" i="10"/>
  <c r="AE38" i="10"/>
  <c r="T72" i="10"/>
  <c r="Z36" i="10"/>
  <c r="AE9" i="1"/>
  <c r="L71" i="1"/>
  <c r="L69" i="1"/>
  <c r="E69" i="1"/>
  <c r="F72" i="1"/>
  <c r="Y71" i="1"/>
  <c r="Z9" i="1"/>
  <c r="G69" i="1"/>
  <c r="G71" i="1"/>
  <c r="I9" i="1"/>
  <c r="AB11" i="1"/>
  <c r="S70" i="1"/>
  <c r="AL69" i="1"/>
  <c r="AL71" i="1"/>
  <c r="S72" i="1"/>
  <c r="D9" i="1"/>
  <c r="X11" i="1"/>
  <c r="AH11" i="1"/>
  <c r="O9" i="1"/>
  <c r="T38" i="1"/>
  <c r="AM36" i="1"/>
  <c r="T71" i="1"/>
  <c r="AN36" i="1"/>
  <c r="J9" i="1"/>
  <c r="AC11" i="1"/>
  <c r="AB38" i="1"/>
  <c r="E72" i="1"/>
  <c r="AG38" i="1"/>
  <c r="AH38" i="1"/>
  <c r="AI38" i="1"/>
  <c r="AG11" i="1"/>
  <c r="N9" i="1"/>
  <c r="F38" i="1"/>
  <c r="Y36" i="1"/>
  <c r="Z36" i="1"/>
  <c r="H9" i="1"/>
  <c r="AA11" i="1"/>
  <c r="AE38" i="1"/>
  <c r="Q38" i="1"/>
  <c r="AJ36" i="1"/>
  <c r="AK36" i="1"/>
  <c r="Q71" i="1"/>
  <c r="Q69" i="1"/>
  <c r="AK9" i="1"/>
  <c r="AJ9" i="1"/>
  <c r="K69" i="1"/>
  <c r="K71" i="1"/>
  <c r="M9" i="1"/>
  <c r="AF11" i="1"/>
  <c r="AC38" i="1"/>
  <c r="P9" i="1"/>
  <c r="AI11" i="1"/>
  <c r="AD11" i="1"/>
  <c r="V72" i="1" l="1"/>
  <c r="AO69" i="1"/>
  <c r="AL9" i="10"/>
  <c r="S71" i="10"/>
  <c r="S69" i="10"/>
  <c r="AM9" i="10"/>
  <c r="D69" i="10"/>
  <c r="D71" i="10"/>
  <c r="W9" i="10"/>
  <c r="X9" i="10"/>
  <c r="E71" i="10"/>
  <c r="E69" i="10"/>
  <c r="AC71" i="10"/>
  <c r="J72" i="10"/>
  <c r="J69" i="10"/>
  <c r="AA9" i="10"/>
  <c r="H71" i="10"/>
  <c r="H69" i="10"/>
  <c r="G70" i="10"/>
  <c r="Y38" i="10"/>
  <c r="M71" i="10"/>
  <c r="AF9" i="10"/>
  <c r="M69" i="10"/>
  <c r="L69" i="10"/>
  <c r="L71" i="10"/>
  <c r="AE9" i="10"/>
  <c r="X38" i="10"/>
  <c r="D38" i="10"/>
  <c r="W38" i="10" s="1"/>
  <c r="W36" i="10"/>
  <c r="R69" i="10"/>
  <c r="AK9" i="10"/>
  <c r="R71" i="10"/>
  <c r="I69" i="10"/>
  <c r="I71" i="10"/>
  <c r="AB9" i="10"/>
  <c r="AI71" i="10"/>
  <c r="P72" i="10"/>
  <c r="AI69" i="10"/>
  <c r="P70" i="10"/>
  <c r="N71" i="10"/>
  <c r="N69" i="10"/>
  <c r="AG9" i="10"/>
  <c r="AH71" i="10"/>
  <c r="O72" i="10"/>
  <c r="K70" i="10"/>
  <c r="AD38" i="10"/>
  <c r="AM69" i="10"/>
  <c r="T70" i="10"/>
  <c r="Q71" i="10"/>
  <c r="AJ9" i="10"/>
  <c r="Q69" i="10"/>
  <c r="AH69" i="10"/>
  <c r="O70" i="10"/>
  <c r="F69" i="10"/>
  <c r="Z69" i="10" s="1"/>
  <c r="F71" i="10"/>
  <c r="Y9" i="10"/>
  <c r="Z9" i="10"/>
  <c r="AH9" i="10"/>
  <c r="T72" i="1"/>
  <c r="AM71" i="1"/>
  <c r="AN71" i="1"/>
  <c r="Y38" i="1"/>
  <c r="F69" i="1"/>
  <c r="Q72" i="1"/>
  <c r="AK71" i="1"/>
  <c r="AM38" i="1"/>
  <c r="T69" i="1"/>
  <c r="AN38" i="1"/>
  <c r="G72" i="1"/>
  <c r="Z71" i="1"/>
  <c r="AH9" i="1"/>
  <c r="O71" i="1"/>
  <c r="O69" i="1"/>
  <c r="Z69" i="1"/>
  <c r="G70" i="1"/>
  <c r="P69" i="1"/>
  <c r="AJ69" i="1" s="1"/>
  <c r="P71" i="1"/>
  <c r="AJ71" i="1" s="1"/>
  <c r="AI9" i="1"/>
  <c r="AJ38" i="1"/>
  <c r="AK38" i="1"/>
  <c r="Z38" i="1"/>
  <c r="D69" i="1"/>
  <c r="W9" i="1"/>
  <c r="D71" i="1"/>
  <c r="X9" i="1"/>
  <c r="Q70" i="1"/>
  <c r="AK69" i="1"/>
  <c r="AB9" i="1"/>
  <c r="I69" i="1"/>
  <c r="I71" i="1"/>
  <c r="X69" i="1"/>
  <c r="E70" i="1"/>
  <c r="K70" i="1"/>
  <c r="AC9" i="1"/>
  <c r="J69" i="1"/>
  <c r="J71" i="1"/>
  <c r="AG9" i="1"/>
  <c r="N71" i="1"/>
  <c r="N69" i="1"/>
  <c r="M71" i="1"/>
  <c r="AF9" i="1"/>
  <c r="M69" i="1"/>
  <c r="AD9" i="1"/>
  <c r="AE69" i="1"/>
  <c r="L70" i="1"/>
  <c r="K72" i="1"/>
  <c r="H69" i="1"/>
  <c r="AA9" i="1"/>
  <c r="H71" i="1"/>
  <c r="L72" i="1"/>
  <c r="AE71" i="1"/>
  <c r="L72" i="10" l="1"/>
  <c r="AE71" i="10"/>
  <c r="AF69" i="10"/>
  <c r="M70" i="10"/>
  <c r="X71" i="10"/>
  <c r="E72" i="10"/>
  <c r="I70" i="10"/>
  <c r="AB69" i="10"/>
  <c r="M72" i="10"/>
  <c r="AF71" i="10"/>
  <c r="Y71" i="10"/>
  <c r="F72" i="10"/>
  <c r="Z71" i="10"/>
  <c r="AK71" i="10"/>
  <c r="R72" i="10"/>
  <c r="S72" i="10"/>
  <c r="AL71" i="10"/>
  <c r="AM71" i="10"/>
  <c r="AC69" i="10"/>
  <c r="J70" i="10"/>
  <c r="AE69" i="10"/>
  <c r="L70" i="10"/>
  <c r="X69" i="10"/>
  <c r="E70" i="10"/>
  <c r="AD69" i="10"/>
  <c r="W71" i="10"/>
  <c r="D72" i="10"/>
  <c r="R70" i="10"/>
  <c r="AK69" i="10"/>
  <c r="D70" i="10"/>
  <c r="W69" i="10"/>
  <c r="Q72" i="10"/>
  <c r="AJ71" i="10"/>
  <c r="AB71" i="10"/>
  <c r="I72" i="10"/>
  <c r="F70" i="10"/>
  <c r="Y69" i="10"/>
  <c r="AG69" i="10"/>
  <c r="N70" i="10"/>
  <c r="H70" i="10"/>
  <c r="AA69" i="10"/>
  <c r="AJ69" i="10"/>
  <c r="Q70" i="10"/>
  <c r="N72" i="10"/>
  <c r="AG71" i="10"/>
  <c r="H72" i="10"/>
  <c r="AA71" i="10"/>
  <c r="AL69" i="10"/>
  <c r="S70" i="10"/>
  <c r="AB71" i="1"/>
  <c r="I72" i="1"/>
  <c r="T70" i="1"/>
  <c r="AM69" i="1"/>
  <c r="AN69" i="1"/>
  <c r="J72" i="1"/>
  <c r="AC71" i="1"/>
  <c r="F70" i="1"/>
  <c r="Y69" i="1"/>
  <c r="M72" i="1"/>
  <c r="AF71" i="1"/>
  <c r="I70" i="1"/>
  <c r="AB69" i="1"/>
  <c r="AA71" i="1"/>
  <c r="H72" i="1"/>
  <c r="AI69" i="1"/>
  <c r="P70" i="1"/>
  <c r="J70" i="1"/>
  <c r="AC69" i="1"/>
  <c r="AH69" i="1"/>
  <c r="O70" i="1"/>
  <c r="W71" i="1"/>
  <c r="D72" i="1"/>
  <c r="X71" i="1"/>
  <c r="AF69" i="1"/>
  <c r="M70" i="1"/>
  <c r="N70" i="1"/>
  <c r="AG69" i="1"/>
  <c r="AG71" i="1"/>
  <c r="N72" i="1"/>
  <c r="AA69" i="1"/>
  <c r="H70" i="1"/>
  <c r="AD69" i="1"/>
  <c r="AI71" i="1"/>
  <c r="P72" i="1"/>
  <c r="AD71" i="1"/>
  <c r="O72" i="1"/>
  <c r="AH71" i="1"/>
  <c r="W69" i="1"/>
  <c r="D70" i="1"/>
</calcChain>
</file>

<file path=xl/sharedStrings.xml><?xml version="1.0" encoding="utf-8"?>
<sst xmlns="http://schemas.openxmlformats.org/spreadsheetml/2006/main" count="297" uniqueCount="144">
  <si>
    <t>CONCEPTO</t>
  </si>
  <si>
    <t>GASTOS CORRIENTES</t>
  </si>
  <si>
    <t xml:space="preserve">    Sueldos y Salarios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</si>
  <si>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</si>
  <si>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</si>
  <si>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</si>
  <si>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</si>
  <si>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</si>
  <si>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</si>
  <si>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</si>
  <si>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</si>
  <si>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</si>
  <si>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</si>
  <si>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</si>
  <si>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</si>
  <si>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Gasto Total sin Intereses</t>
  </si>
  <si>
    <t xml:space="preserve">    Intereses    </t>
  </si>
  <si>
    <t>1 - 3</t>
  </si>
  <si>
    <t>1 - 2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</si>
  <si>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</si>
  <si>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</si>
  <si>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</si>
  <si>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</si>
  <si>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</si>
  <si>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</si>
  <si>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</si>
  <si>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</si>
  <si>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</si>
  <si>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</si>
  <si>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</si>
  <si>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</si>
  <si>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</si>
  <si>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</si>
  <si>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</si>
  <si>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</si>
  <si>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</si>
  <si>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</si>
  <si>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Der.de Exp.ad/valorem</t>
  </si>
  <si>
    <t>Transferencias con recurso externo</t>
  </si>
  <si>
    <t>FINANCIAMIENTO</t>
  </si>
  <si>
    <t>Remuneraciones</t>
  </si>
  <si>
    <t xml:space="preserve">   Interno Neto</t>
  </si>
  <si>
    <t xml:space="preserve">   Externo Neto</t>
  </si>
  <si>
    <t>en millones de colones</t>
  </si>
  <si>
    <r>
      <rPr>
        <b/>
        <sz val="10"/>
        <rFont val="Arial"/>
        <family val="2"/>
      </rPr>
      <t xml:space="preserve">Fuente:  </t>
    </r>
    <r>
      <rPr>
        <sz val="10"/>
        <rFont val="Arial"/>
        <family val="2"/>
      </rPr>
      <t>Cuadro elaborado en la Secretaría Técnica de la Autoridad Presupuestaria, con información suministrada por la Contabilidad Nacional y la Dirección de Crédito Público.</t>
    </r>
  </si>
  <si>
    <t>% PIB</t>
  </si>
  <si>
    <t>Mes de Diciembre</t>
  </si>
  <si>
    <t>Acumulado al mes de diciembre</t>
  </si>
  <si>
    <t xml:space="preserve"> Impuesto Exportaciones Vía Terrestre</t>
  </si>
  <si>
    <t xml:space="preserve">Concesión </t>
  </si>
  <si>
    <t>Concesión Neta de Préstamos</t>
  </si>
  <si>
    <t xml:space="preserve">Recuperación </t>
  </si>
  <si>
    <t>GASTOS TOTALES Y CONCESIÓN NETA</t>
  </si>
  <si>
    <r>
      <t>INGRESOS TOTALES</t>
    </r>
    <r>
      <rPr>
        <b/>
        <vertAlign val="superscript"/>
        <sz val="10"/>
        <rFont val="Arial"/>
        <family val="2"/>
      </rPr>
      <t xml:space="preserve"> 3/</t>
    </r>
  </si>
  <si>
    <t>INGRESO, GASTO Y FINANCIAMIENTO PRELIMINAR DEL GOBIERNO CENTRAL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</si>
  <si>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</si>
  <si>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</si>
  <si>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</si>
  <si>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</si>
  <si>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</si>
  <si>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</si>
  <si>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</si>
  <si>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</si>
  <si>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</si>
  <si>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</si>
  <si>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</si>
  <si>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18/19</t>
  </si>
  <si>
    <t>19/20</t>
  </si>
  <si>
    <t>20/21</t>
  </si>
  <si>
    <t>INGRESO, GASTO Y FINANCIAMIENTO  DEL GOBIERNO CENTRAL</t>
  </si>
  <si>
    <t>21/22</t>
  </si>
  <si>
    <t xml:space="preserve"> </t>
  </si>
  <si>
    <r>
      <t xml:space="preserve">Otros Ingresos tributarios diversos internos </t>
    </r>
    <r>
      <rPr>
        <vertAlign val="superscript"/>
        <sz val="10"/>
        <rFont val="Arial"/>
        <family val="2"/>
      </rPr>
      <t>8/</t>
    </r>
  </si>
  <si>
    <r>
      <t>Otros Ingresos tributarios diversos aduanas</t>
    </r>
    <r>
      <rPr>
        <vertAlign val="superscript"/>
        <sz val="10"/>
        <rFont val="Arial"/>
        <family val="2"/>
      </rPr>
      <t xml:space="preserve"> 8/</t>
    </r>
  </si>
  <si>
    <r>
      <t>Otros Ingresos tributarios diversos internos</t>
    </r>
    <r>
      <rPr>
        <vertAlign val="superscript"/>
        <sz val="10"/>
        <rFont val="Arial"/>
        <family val="2"/>
      </rPr>
      <t xml:space="preserve"> 8/</t>
    </r>
  </si>
  <si>
    <r>
      <t>Otros Ingresos tributarios diversos aduanas</t>
    </r>
    <r>
      <rPr>
        <vertAlign val="superscript"/>
        <sz val="10"/>
        <rFont val="Arial"/>
        <family val="2"/>
      </rPr>
      <t>8/</t>
    </r>
  </si>
  <si>
    <r>
      <t xml:space="preserve">         Sector Publico</t>
    </r>
    <r>
      <rPr>
        <vertAlign val="superscript"/>
        <sz val="10"/>
        <rFont val="Arial"/>
        <family val="2"/>
      </rPr>
      <t xml:space="preserve"> </t>
    </r>
  </si>
  <si>
    <t>22/23</t>
  </si>
  <si>
    <t>17/18</t>
  </si>
  <si>
    <t>23/24</t>
  </si>
  <si>
    <t xml:space="preserve">Cifras del mes de diciembre 2019- 2025 </t>
  </si>
  <si>
    <t>24/25</t>
  </si>
  <si>
    <r>
      <t>PIB</t>
    </r>
    <r>
      <rPr>
        <vertAlign val="superscript"/>
        <sz val="10"/>
        <rFont val="Arial"/>
        <family val="2"/>
      </rPr>
      <t xml:space="preserve"> 1/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</si>
  <si>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</si>
  <si>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inversión.</t>
    </r>
  </si>
  <si>
    <t xml:space="preserve">    Transferencias </t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</si>
  <si>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</si>
  <si>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</si>
  <si>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r>
      <t xml:space="preserve">PIB </t>
    </r>
    <r>
      <rPr>
        <vertAlign val="superscript"/>
        <sz val="10"/>
        <rFont val="Arial"/>
        <family val="2"/>
      </rPr>
      <t>1/</t>
    </r>
  </si>
  <si>
    <t xml:space="preserve">Cifras acumuladas al mes de diciembre 2019 - 2025 </t>
  </si>
  <si>
    <r>
      <t xml:space="preserve">    Transferencias</t>
    </r>
    <r>
      <rPr>
        <vertAlign val="superscript"/>
        <sz val="10"/>
        <rFont val="Arial"/>
        <family val="2"/>
      </rPr>
      <t xml:space="preserve"> </t>
    </r>
  </si>
  <si>
    <t>GOBIERNO CENTRAL DE COSTA RICA</t>
  </si>
  <si>
    <t>PRINCIPALES INGRESOS</t>
  </si>
  <si>
    <t>COMPARATIVOS MES DICIEMBRE</t>
  </si>
  <si>
    <t>COMPARATIVOS ACUMULADO AL MES DE DICIEMBRE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</si>
  <si>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</si>
  <si>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</si>
  <si>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</si>
  <si>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</si>
  <si>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</si>
  <si>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</si>
  <si>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</si>
  <si>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</si>
  <si>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</si>
  <si>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</si>
  <si>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</si>
  <si>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</si>
  <si>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</si>
  <si>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</si>
  <si>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</si>
  <si>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</si>
  <si>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</si>
  <si>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</si>
  <si>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</si>
  <si>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</si>
  <si>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</si>
  <si>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</si>
  <si>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</si>
  <si>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</si>
  <si>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</si>
  <si>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</si>
  <si>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</si>
  <si>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</si>
  <si>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</si>
  <si>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</si>
  <si>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</si>
  <si>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</si>
  <si>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</si>
  <si>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</si>
  <si>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</si>
  <si>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</si>
  <si>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</si>
  <si>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</si>
  <si>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</si>
  <si>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</si>
  <si>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</si>
  <si>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</si>
  <si>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</si>
  <si>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</si>
  <si>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</si>
  <si>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</si>
  <si>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</si>
  <si>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 2023-2025, proyección 2026-2027 utilizada en el informe de Política Monetaria  de enero 2026, aprobado por la Junta Directiva en el artículo 5 del acta de la sesión 6304-2026, el 27 de enero de 2026 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</si>
  <si>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 xml:space="preserve">Según el PIB publicado por el Banco Central  cifras preliminares 2023-2025, proyección 2026-2027 utilizada en el informe de Política Monetaria  de enero 2026, aprobado por la Junta Directiva en el artículo 5 del acta de la sesión 6304-2026, el 27 de enero de 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</si>
</sst>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#,##0.0\ _p_t_a"/>
    <numFmt numFmtId="168" formatCode="#,##0.0"/>
    <numFmt numFmtId="169" formatCode="#,##0.0_);\(#,##0.0\)"/>
    <numFmt numFmtId="170" formatCode="0.0%"/>
    <numFmt numFmtId="171" formatCode="_-* #,##0.00\ _€_-;\-* #,##0.00\ _€_-;_-* &quot;-&quot;??\ _€_-;_-@_-"/>
    <numFmt numFmtId="172" formatCode="_(&quot;$&quot;* #,##0_);_(&quot;$&quot;* \(#,##0\);_(&quot;$&quot;* &quot;-&quot;_);_(@_)"/>
    <numFmt numFmtId="173" formatCode="_(&quot;$&quot;* #,##0.00_);_(&quot;$&quot;* \(#,##0.00\);_(&quot;$&quot;* &quot;-&quot;??_);_(@_)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[Black][&gt;0.05]#,##0.0;[Black][&lt;-0.05]\-#,##0.0;;"/>
    <numFmt numFmtId="180" formatCode="[Black][&gt;0.5]#,##0;[Black][&lt;-0.5]\-#,##0;;"/>
    <numFmt numFmtId="181" formatCode="_([$€-2]* #,##0.00_);_([$€-2]* \(#,##0.00\);_([$€-2]* &quot;-&quot;??_)"/>
    <numFmt numFmtId="182" formatCode="#,##0.0____"/>
    <numFmt numFmtId="183" formatCode="\$#,##0.00\ ;\(\$#,##0.00\)"/>
    <numFmt numFmtId="184" formatCode="[&gt;=0.05]#,##0.0;[&lt;=-0.05]\-#,##0.0;?0.0"/>
    <numFmt numFmtId="185" formatCode="[Black]#,##0.0;[Black]\-#,##0.0;;"/>
    <numFmt numFmtId="186" formatCode="0.0"/>
    <numFmt numFmtId="187" formatCode="#,##0.000"/>
  </numFmts>
  <fonts count="63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Helv"/>
    </font>
    <font>
      <sz val="12"/>
      <name val="Tms Rmn"/>
    </font>
    <font>
      <sz val="10"/>
      <name val="Tms Rmn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12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8"/>
      <color rgb="FF0070C0"/>
      <name val="Arial"/>
      <family val="2"/>
    </font>
    <font>
      <b/>
      <sz val="8"/>
      <color rgb="FF0000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01">
    <xf numFmtId="0" fontId="0" fillId="0" borderId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0" fillId="2" borderId="0" applyNumberFormat="0" applyBorder="0" applyAlignment="0" applyProtection="0"/>
    <xf numFmtId="0" fontId="1" fillId="2" borderId="0" applyNumberFormat="0" applyBorder="0" applyAlignment="0" applyProtection="0"/>
    <xf numFmtId="0" fontId="20" fillId="3" borderId="0" applyNumberFormat="0" applyBorder="0" applyAlignment="0" applyProtection="0"/>
    <xf numFmtId="0" fontId="1" fillId="3" borderId="0" applyNumberFormat="0" applyBorder="0" applyAlignment="0" applyProtection="0"/>
    <xf numFmtId="0" fontId="20" fillId="4" borderId="0" applyNumberFormat="0" applyBorder="0" applyAlignment="0" applyProtection="0"/>
    <xf numFmtId="0" fontId="1" fillId="4" borderId="0" applyNumberFormat="0" applyBorder="0" applyAlignment="0" applyProtection="0"/>
    <xf numFmtId="0" fontId="20" fillId="5" borderId="0" applyNumberFormat="0" applyBorder="0" applyAlignment="0" applyProtection="0"/>
    <xf numFmtId="0" fontId="1" fillId="5" borderId="0" applyNumberFormat="0" applyBorder="0" applyAlignment="0" applyProtection="0"/>
    <xf numFmtId="0" fontId="20" fillId="6" borderId="0" applyNumberFormat="0" applyBorder="0" applyAlignment="0" applyProtection="0"/>
    <xf numFmtId="0" fontId="1" fillId="6" borderId="0" applyNumberFormat="0" applyBorder="0" applyAlignment="0" applyProtection="0"/>
    <xf numFmtId="0" fontId="20" fillId="7" borderId="0" applyNumberFormat="0" applyBorder="0" applyAlignment="0" applyProtection="0"/>
    <xf numFmtId="0" fontId="1" fillId="7" borderId="0" applyNumberFormat="0" applyBorder="0" applyAlignment="0" applyProtection="0"/>
    <xf numFmtId="0" fontId="20" fillId="2" borderId="0" applyNumberFormat="0" applyBorder="0" applyAlignment="0" applyProtection="0"/>
    <xf numFmtId="0" fontId="1" fillId="2" borderId="0" applyNumberFormat="0" applyBorder="0" applyAlignment="0" applyProtection="0"/>
    <xf numFmtId="0" fontId="20" fillId="3" borderId="0" applyNumberFormat="0" applyBorder="0" applyAlignment="0" applyProtection="0"/>
    <xf numFmtId="0" fontId="1" fillId="3" borderId="0" applyNumberFormat="0" applyBorder="0" applyAlignment="0" applyProtection="0"/>
    <xf numFmtId="0" fontId="20" fillId="4" borderId="0" applyNumberFormat="0" applyBorder="0" applyAlignment="0" applyProtection="0"/>
    <xf numFmtId="0" fontId="1" fillId="4" borderId="0" applyNumberFormat="0" applyBorder="0" applyAlignment="0" applyProtection="0"/>
    <xf numFmtId="0" fontId="20" fillId="5" borderId="0" applyNumberFormat="0" applyBorder="0" applyAlignment="0" applyProtection="0"/>
    <xf numFmtId="0" fontId="1" fillId="5" borderId="0" applyNumberFormat="0" applyBorder="0" applyAlignment="0" applyProtection="0"/>
    <xf numFmtId="0" fontId="20" fillId="6" borderId="0" applyNumberFormat="0" applyBorder="0" applyAlignment="0" applyProtection="0"/>
    <xf numFmtId="0" fontId="1" fillId="6" borderId="0" applyNumberFormat="0" applyBorder="0" applyAlignment="0" applyProtection="0"/>
    <xf numFmtId="0" fontId="20" fillId="7" borderId="0" applyNumberFormat="0" applyBorder="0" applyAlignment="0" applyProtection="0"/>
    <xf numFmtId="0" fontId="1" fillId="7" borderId="0" applyNumberFormat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9" borderId="0" applyNumberFormat="0" applyBorder="0" applyAlignment="0" applyProtection="0"/>
    <xf numFmtId="0" fontId="1" fillId="9" borderId="0" applyNumberFormat="0" applyBorder="0" applyAlignment="0" applyProtection="0"/>
    <xf numFmtId="0" fontId="20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5" borderId="0" applyNumberFormat="0" applyBorder="0" applyAlignment="0" applyProtection="0"/>
    <xf numFmtId="0" fontId="1" fillId="5" borderId="0" applyNumberFormat="0" applyBorder="0" applyAlignment="0" applyProtection="0"/>
    <xf numFmtId="0" fontId="20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9" borderId="0" applyNumberFormat="0" applyBorder="0" applyAlignment="0" applyProtection="0"/>
    <xf numFmtId="0" fontId="1" fillId="9" borderId="0" applyNumberFormat="0" applyBorder="0" applyAlignment="0" applyProtection="0"/>
    <xf numFmtId="0" fontId="20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5" borderId="0" applyNumberFormat="0" applyBorder="0" applyAlignment="0" applyProtection="0"/>
    <xf numFmtId="0" fontId="1" fillId="5" borderId="0" applyNumberFormat="0" applyBorder="0" applyAlignment="0" applyProtection="0"/>
    <xf numFmtId="0" fontId="20" fillId="8" borderId="0" applyNumberFormat="0" applyBorder="0" applyAlignment="0" applyProtection="0"/>
    <xf numFmtId="0" fontId="1" fillId="8" borderId="0" applyNumberFormat="0" applyBorder="0" applyAlignment="0" applyProtection="0"/>
    <xf numFmtId="0" fontId="20" fillId="11" borderId="0" applyNumberFormat="0" applyBorder="0" applyAlignment="0" applyProtection="0"/>
    <xf numFmtId="0" fontId="1" fillId="11" borderId="0" applyNumberFormat="0" applyBorder="0" applyAlignment="0" applyProtection="0"/>
    <xf numFmtId="178" fontId="19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0" borderId="1">
      <protection hidden="1"/>
    </xf>
    <xf numFmtId="0" fontId="23" fillId="20" borderId="1" applyNumberFormat="0" applyFont="0" applyBorder="0" applyAlignment="0" applyProtection="0">
      <protection hidden="1"/>
    </xf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20" borderId="2" applyNumberFormat="0" applyAlignment="0" applyProtection="0"/>
    <xf numFmtId="0" fontId="26" fillId="20" borderId="2" applyNumberFormat="0" applyAlignment="0" applyProtection="0"/>
    <xf numFmtId="0" fontId="27" fillId="21" borderId="3" applyNumberFormat="0" applyAlignment="0" applyProtection="0"/>
    <xf numFmtId="0" fontId="28" fillId="0" borderId="4" applyNumberFormat="0" applyFill="0" applyAlignment="0" applyProtection="0"/>
    <xf numFmtId="0" fontId="27" fillId="21" borderId="3" applyNumberFormat="0" applyAlignment="0" applyProtection="0"/>
    <xf numFmtId="0" fontId="29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30" fillId="7" borderId="2" applyNumberFormat="0" applyAlignment="0" applyProtection="0"/>
    <xf numFmtId="0" fontId="18" fillId="0" borderId="0"/>
    <xf numFmtId="0" fontId="17" fillId="0" borderId="0"/>
    <xf numFmtId="0" fontId="13" fillId="0" borderId="0">
      <alignment vertical="top"/>
    </xf>
    <xf numFmtId="0" fontId="2" fillId="0" borderId="0"/>
    <xf numFmtId="181" fontId="2" fillId="0" borderId="0" applyFont="0" applyFill="0" applyBorder="0" applyAlignment="0" applyProtection="0"/>
    <xf numFmtId="0" fontId="56" fillId="0" borderId="0"/>
    <xf numFmtId="0" fontId="2" fillId="0" borderId="0"/>
    <xf numFmtId="0" fontId="31" fillId="0" borderId="0" applyNumberFormat="0" applyFill="0" applyBorder="0" applyAlignment="0" applyProtection="0"/>
    <xf numFmtId="0" fontId="25" fillId="4" borderId="0" applyNumberFormat="0" applyBorder="0" applyAlignment="0" applyProtection="0"/>
    <xf numFmtId="38" fontId="3" fillId="22" borderId="0" applyNumberFormat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168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4" fillId="3" borderId="0" applyNumberFormat="0" applyBorder="0" applyAlignment="0" applyProtection="0"/>
    <xf numFmtId="0" fontId="30" fillId="7" borderId="2" applyNumberFormat="0" applyAlignment="0" applyProtection="0"/>
    <xf numFmtId="10" fontId="3" fillId="23" borderId="8" applyNumberFormat="0" applyBorder="0" applyAlignment="0" applyProtection="0"/>
    <xf numFmtId="0" fontId="28" fillId="0" borderId="4" applyNumberFormat="0" applyFill="0" applyAlignment="0" applyProtection="0"/>
    <xf numFmtId="0" fontId="34" fillId="0" borderId="1">
      <alignment horizontal="left"/>
      <protection locked="0"/>
    </xf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35" fillId="24" borderId="0" applyNumberFormat="0" applyBorder="0" applyAlignment="0" applyProtection="0"/>
    <xf numFmtId="0" fontId="36" fillId="0" borderId="0"/>
    <xf numFmtId="0" fontId="37" fillId="0" borderId="0"/>
    <xf numFmtId="0" fontId="38" fillId="0" borderId="0"/>
    <xf numFmtId="0" fontId="38" fillId="0" borderId="0"/>
    <xf numFmtId="0" fontId="39" fillId="0" borderId="0"/>
    <xf numFmtId="0" fontId="15" fillId="0" borderId="0"/>
    <xf numFmtId="0" fontId="4" fillId="0" borderId="0"/>
    <xf numFmtId="0" fontId="2" fillId="0" borderId="0"/>
    <xf numFmtId="0" fontId="40" fillId="0" borderId="0"/>
    <xf numFmtId="0" fontId="2" fillId="0" borderId="0"/>
    <xf numFmtId="0" fontId="15" fillId="0" borderId="0"/>
    <xf numFmtId="0" fontId="57" fillId="0" borderId="0"/>
    <xf numFmtId="0" fontId="2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7" fillId="0" borderId="0"/>
    <xf numFmtId="0" fontId="17" fillId="0" borderId="0"/>
    <xf numFmtId="0" fontId="2" fillId="0" borderId="0"/>
    <xf numFmtId="184" fontId="18" fillId="0" borderId="0" applyFill="0" applyBorder="0" applyAlignment="0" applyProtection="0">
      <alignment horizontal="right"/>
    </xf>
    <xf numFmtId="184" fontId="17" fillId="0" borderId="0" applyFill="0" applyBorder="0" applyAlignment="0" applyProtection="0">
      <alignment horizontal="right"/>
    </xf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25" borderId="9" applyNumberFormat="0" applyFont="0" applyAlignment="0" applyProtection="0"/>
    <xf numFmtId="0" fontId="20" fillId="25" borderId="9" applyNumberFormat="0" applyFont="0" applyAlignment="0" applyProtection="0"/>
    <xf numFmtId="0" fontId="1" fillId="25" borderId="9" applyNumberFormat="0" applyFont="0" applyAlignment="0" applyProtection="0"/>
    <xf numFmtId="0" fontId="41" fillId="20" borderId="10" applyNumberFormat="0" applyAlignment="0" applyProtection="0"/>
    <xf numFmtId="10" fontId="2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7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18" fillId="0" borderId="0" applyFill="0" applyBorder="0" applyAlignment="0">
      <alignment horizontal="centerContinuous"/>
    </xf>
    <xf numFmtId="182" fontId="17" fillId="0" borderId="0" applyFill="0" applyBorder="0" applyAlignment="0">
      <alignment horizontal="centerContinuous"/>
    </xf>
    <xf numFmtId="0" fontId="19" fillId="0" borderId="0"/>
    <xf numFmtId="0" fontId="42" fillId="0" borderId="1" applyNumberFormat="0" applyFill="0" applyBorder="0" applyAlignment="0" applyProtection="0">
      <protection hidden="1"/>
    </xf>
    <xf numFmtId="0" fontId="41" fillId="20" borderId="10" applyNumberFormat="0" applyAlignment="0" applyProtection="0"/>
    <xf numFmtId="0" fontId="43" fillId="0" borderId="0"/>
    <xf numFmtId="0" fontId="2" fillId="0" borderId="0" applyNumberFormat="0"/>
    <xf numFmtId="0" fontId="4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29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6" fillId="20" borderId="1"/>
    <xf numFmtId="0" fontId="47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8" fillId="0" borderId="0" applyProtection="0"/>
    <xf numFmtId="183" fontId="48" fillId="0" borderId="0" applyProtection="0"/>
    <xf numFmtId="0" fontId="49" fillId="0" borderId="0" applyProtection="0"/>
    <xf numFmtId="0" fontId="50" fillId="0" borderId="0" applyProtection="0"/>
    <xf numFmtId="0" fontId="48" fillId="0" borderId="12" applyProtection="0"/>
    <xf numFmtId="0" fontId="48" fillId="0" borderId="0"/>
    <xf numFmtId="10" fontId="48" fillId="0" borderId="0" applyProtection="0"/>
    <xf numFmtId="0" fontId="48" fillId="0" borderId="0"/>
    <xf numFmtId="2" fontId="48" fillId="0" borderId="0" applyProtection="0"/>
    <xf numFmtId="4" fontId="48" fillId="0" borderId="0" applyProtection="0"/>
  </cellStyleXfs>
  <cellXfs count="209">
    <xf numFmtId="0" fontId="0" fillId="0" borderId="0" xfId="0"/>
    <xf numFmtId="0" fontId="4" fillId="0" borderId="0" xfId="0" applyFont="1"/>
    <xf numFmtId="168" fontId="4" fillId="0" borderId="0" xfId="0" applyNumberFormat="1" applyFont="1"/>
    <xf numFmtId="168" fontId="5" fillId="0" borderId="0" xfId="0" applyNumberFormat="1" applyFont="1" applyAlignment="1">
      <alignment horizontal="left" wrapText="1"/>
    </xf>
    <xf numFmtId="168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168" fontId="5" fillId="0" borderId="0" xfId="0" applyNumberFormat="1" applyFont="1"/>
    <xf numFmtId="167" fontId="4" fillId="0" borderId="0" xfId="0" applyNumberFormat="1" applyFont="1"/>
    <xf numFmtId="166" fontId="4" fillId="0" borderId="0" xfId="110" applyFont="1"/>
    <xf numFmtId="0" fontId="4" fillId="0" borderId="13" xfId="0" applyFont="1" applyBorder="1"/>
    <xf numFmtId="167" fontId="4" fillId="0" borderId="13" xfId="0" applyNumberFormat="1" applyFont="1" applyBorder="1"/>
    <xf numFmtId="167" fontId="4" fillId="0" borderId="13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168" fontId="7" fillId="0" borderId="0" xfId="0" applyNumberFormat="1" applyFont="1" applyAlignment="1">
      <alignment horizontal="left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 indent="2"/>
    </xf>
    <xf numFmtId="167" fontId="10" fillId="0" borderId="0" xfId="0" applyNumberFormat="1" applyFont="1"/>
    <xf numFmtId="168" fontId="9" fillId="0" borderId="0" xfId="0" applyNumberFormat="1" applyFont="1"/>
    <xf numFmtId="168" fontId="11" fillId="0" borderId="0" xfId="0" applyNumberFormat="1" applyFont="1"/>
    <xf numFmtId="168" fontId="12" fillId="0" borderId="0" xfId="0" applyNumberFormat="1" applyFont="1"/>
    <xf numFmtId="168" fontId="4" fillId="0" borderId="0" xfId="0" applyNumberFormat="1" applyFont="1" applyAlignment="1">
      <alignment horizontal="left" indent="1"/>
    </xf>
    <xf numFmtId="168" fontId="4" fillId="0" borderId="0" xfId="0" applyNumberFormat="1" applyFont="1" applyAlignment="1">
      <alignment horizontal="left" indent="2"/>
    </xf>
    <xf numFmtId="168" fontId="4" fillId="0" borderId="0" xfId="0" applyNumberFormat="1" applyFont="1" applyAlignment="1">
      <alignment horizontal="left" indent="3"/>
    </xf>
    <xf numFmtId="0" fontId="4" fillId="0" borderId="0" xfId="0" applyFont="1" applyAlignment="1">
      <alignment horizontal="left" indent="1"/>
    </xf>
    <xf numFmtId="0" fontId="4" fillId="0" borderId="13" xfId="0" applyFont="1" applyBorder="1" applyAlignment="1">
      <alignment horizontal="left"/>
    </xf>
    <xf numFmtId="168" fontId="4" fillId="0" borderId="0" xfId="0" applyNumberFormat="1" applyFont="1" applyAlignment="1">
      <alignment horizontal="right"/>
    </xf>
    <xf numFmtId="168" fontId="13" fillId="0" borderId="0" xfId="0" applyNumberFormat="1" applyFont="1"/>
    <xf numFmtId="167" fontId="14" fillId="0" borderId="0" xfId="0" applyNumberFormat="1" applyFont="1"/>
    <xf numFmtId="168" fontId="10" fillId="0" borderId="0" xfId="0" applyNumberFormat="1" applyFont="1"/>
    <xf numFmtId="168" fontId="12" fillId="0" borderId="0" xfId="155" applyNumberFormat="1" applyFont="1" applyAlignment="1">
      <alignment horizontal="left" wrapText="1"/>
    </xf>
    <xf numFmtId="0" fontId="5" fillId="0" borderId="0" xfId="155" applyFont="1" applyAlignment="1">
      <alignment horizontal="left" vertical="center" wrapText="1"/>
    </xf>
    <xf numFmtId="169" fontId="4" fillId="0" borderId="0" xfId="152" applyNumberFormat="1"/>
    <xf numFmtId="168" fontId="4" fillId="0" borderId="0" xfId="152" applyNumberFormat="1"/>
    <xf numFmtId="0" fontId="4" fillId="0" borderId="0" xfId="152"/>
    <xf numFmtId="168" fontId="12" fillId="0" borderId="0" xfId="132" applyNumberFormat="1" applyFont="1"/>
    <xf numFmtId="168" fontId="4" fillId="0" borderId="0" xfId="132" applyNumberFormat="1"/>
    <xf numFmtId="168" fontId="5" fillId="0" borderId="0" xfId="132" applyNumberFormat="1" applyFont="1"/>
    <xf numFmtId="168" fontId="11" fillId="0" borderId="0" xfId="132" applyNumberFormat="1" applyFont="1"/>
    <xf numFmtId="168" fontId="4" fillId="0" borderId="0" xfId="132" applyNumberFormat="1" applyAlignment="1">
      <alignment horizontal="right"/>
    </xf>
    <xf numFmtId="168" fontId="4" fillId="0" borderId="0" xfId="155" applyNumberFormat="1"/>
    <xf numFmtId="168" fontId="5" fillId="0" borderId="0" xfId="155" applyNumberFormat="1" applyFont="1"/>
    <xf numFmtId="168" fontId="11" fillId="0" borderId="0" xfId="152" applyNumberFormat="1" applyFont="1"/>
    <xf numFmtId="168" fontId="4" fillId="0" borderId="0" xfId="153" applyNumberFormat="1"/>
    <xf numFmtId="168" fontId="2" fillId="0" borderId="0" xfId="155" applyNumberFormat="1" applyFont="1"/>
    <xf numFmtId="0" fontId="2" fillId="0" borderId="0" xfId="0" applyFont="1"/>
    <xf numFmtId="168" fontId="3" fillId="0" borderId="0" xfId="155" applyNumberFormat="1" applyFont="1"/>
    <xf numFmtId="168" fontId="51" fillId="0" borderId="0" xfId="0" applyNumberFormat="1" applyFont="1" applyAlignment="1">
      <alignment horizontal="right" wrapText="1"/>
    </xf>
    <xf numFmtId="170" fontId="51" fillId="0" borderId="0" xfId="166" applyNumberFormat="1" applyFont="1" applyFill="1" applyBorder="1" applyAlignment="1">
      <alignment horizontal="right" wrapText="1"/>
    </xf>
    <xf numFmtId="168" fontId="2" fillId="0" borderId="0" xfId="0" applyNumberFormat="1" applyFont="1"/>
    <xf numFmtId="167" fontId="2" fillId="0" borderId="0" xfId="0" applyNumberFormat="1" applyFont="1"/>
    <xf numFmtId="0" fontId="4" fillId="0" borderId="0" xfId="153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14" xfId="0" applyFont="1" applyBorder="1" applyAlignment="1">
      <alignment horizontal="center" wrapText="1"/>
    </xf>
    <xf numFmtId="170" fontId="8" fillId="0" borderId="0" xfId="166" applyNumberFormat="1" applyFont="1" applyFill="1" applyBorder="1"/>
    <xf numFmtId="170" fontId="3" fillId="0" borderId="0" xfId="166" applyNumberFormat="1" applyFont="1" applyFill="1" applyBorder="1"/>
    <xf numFmtId="0" fontId="3" fillId="0" borderId="0" xfId="154" applyFont="1"/>
    <xf numFmtId="168" fontId="3" fillId="0" borderId="0" xfId="154" applyNumberFormat="1" applyFont="1"/>
    <xf numFmtId="170" fontId="16" fillId="0" borderId="0" xfId="166" applyNumberFormat="1" applyFont="1" applyFill="1" applyBorder="1"/>
    <xf numFmtId="170" fontId="6" fillId="0" borderId="0" xfId="166" applyNumberFormat="1" applyFont="1" applyFill="1" applyBorder="1"/>
    <xf numFmtId="166" fontId="4" fillId="0" borderId="0" xfId="110" applyFont="1" applyFill="1" applyBorder="1"/>
    <xf numFmtId="0" fontId="11" fillId="0" borderId="0" xfId="0" applyFont="1"/>
    <xf numFmtId="49" fontId="6" fillId="26" borderId="8" xfId="154" applyNumberFormat="1" applyFont="1" applyFill="1" applyBorder="1" applyAlignment="1">
      <alignment horizontal="center" wrapText="1"/>
    </xf>
    <xf numFmtId="49" fontId="6" fillId="26" borderId="15" xfId="154" applyNumberFormat="1" applyFont="1" applyFill="1" applyBorder="1" applyAlignment="1">
      <alignment horizontal="center" wrapText="1"/>
    </xf>
    <xf numFmtId="170" fontId="6" fillId="0" borderId="16" xfId="166" applyNumberFormat="1" applyFont="1" applyFill="1" applyBorder="1" applyAlignment="1">
      <alignment horizontal="right"/>
    </xf>
    <xf numFmtId="170" fontId="6" fillId="0" borderId="17" xfId="166" applyNumberFormat="1" applyFont="1" applyFill="1" applyBorder="1" applyAlignment="1">
      <alignment horizontal="right"/>
    </xf>
    <xf numFmtId="170" fontId="53" fillId="0" borderId="16" xfId="166" applyNumberFormat="1" applyFont="1" applyFill="1" applyBorder="1"/>
    <xf numFmtId="170" fontId="53" fillId="0" borderId="17" xfId="166" applyNumberFormat="1" applyFont="1" applyFill="1" applyBorder="1"/>
    <xf numFmtId="170" fontId="6" fillId="0" borderId="18" xfId="166" applyNumberFormat="1" applyFont="1" applyFill="1" applyBorder="1"/>
    <xf numFmtId="170" fontId="6" fillId="0" borderId="8" xfId="166" applyNumberFormat="1" applyFont="1" applyFill="1" applyBorder="1"/>
    <xf numFmtId="170" fontId="6" fillId="0" borderId="19" xfId="166" applyNumberFormat="1" applyFont="1" applyFill="1" applyBorder="1"/>
    <xf numFmtId="168" fontId="8" fillId="27" borderId="19" xfId="154" applyNumberFormat="1" applyFont="1" applyFill="1" applyBorder="1"/>
    <xf numFmtId="170" fontId="8" fillId="26" borderId="20" xfId="166" applyNumberFormat="1" applyFont="1" applyFill="1" applyBorder="1"/>
    <xf numFmtId="170" fontId="8" fillId="26" borderId="19" xfId="166" applyNumberFormat="1" applyFont="1" applyFill="1" applyBorder="1"/>
    <xf numFmtId="168" fontId="6" fillId="0" borderId="1" xfId="172" applyNumberFormat="1" applyFont="1" applyFill="1" applyBorder="1"/>
    <xf numFmtId="170" fontId="6" fillId="0" borderId="21" xfId="166" applyNumberFormat="1" applyFont="1" applyFill="1" applyBorder="1" applyAlignment="1"/>
    <xf numFmtId="170" fontId="6" fillId="0" borderId="1" xfId="166" applyNumberFormat="1" applyFont="1" applyFill="1" applyBorder="1" applyAlignment="1"/>
    <xf numFmtId="170" fontId="8" fillId="0" borderId="21" xfId="166" applyNumberFormat="1" applyFont="1" applyFill="1" applyBorder="1" applyAlignment="1"/>
    <xf numFmtId="170" fontId="8" fillId="0" borderId="1" xfId="166" applyNumberFormat="1" applyFont="1" applyFill="1" applyBorder="1" applyAlignment="1"/>
    <xf numFmtId="168" fontId="3" fillId="0" borderId="1" xfId="172" applyNumberFormat="1" applyFont="1" applyFill="1" applyBorder="1"/>
    <xf numFmtId="170" fontId="3" fillId="0" borderId="21" xfId="166" applyNumberFormat="1" applyFont="1" applyFill="1" applyBorder="1"/>
    <xf numFmtId="170" fontId="3" fillId="0" borderId="1" xfId="166" applyNumberFormat="1" applyFont="1" applyFill="1" applyBorder="1"/>
    <xf numFmtId="170" fontId="3" fillId="0" borderId="21" xfId="166" applyNumberFormat="1" applyFont="1" applyFill="1" applyBorder="1" applyAlignment="1"/>
    <xf numFmtId="170" fontId="3" fillId="0" borderId="1" xfId="166" applyNumberFormat="1" applyFont="1" applyFill="1" applyBorder="1" applyAlignment="1"/>
    <xf numFmtId="170" fontId="8" fillId="0" borderId="19" xfId="166" applyNumberFormat="1" applyFont="1" applyFill="1" applyBorder="1"/>
    <xf numFmtId="170" fontId="8" fillId="0" borderId="22" xfId="166" applyNumberFormat="1" applyFont="1" applyFill="1" applyBorder="1"/>
    <xf numFmtId="170" fontId="8" fillId="0" borderId="23" xfId="166" applyNumberFormat="1" applyFont="1" applyFill="1" applyBorder="1"/>
    <xf numFmtId="170" fontId="3" fillId="0" borderId="24" xfId="166" applyNumberFormat="1" applyFont="1" applyFill="1" applyBorder="1"/>
    <xf numFmtId="168" fontId="3" fillId="0" borderId="24" xfId="172" applyNumberFormat="1" applyFont="1" applyFill="1" applyBorder="1"/>
    <xf numFmtId="168" fontId="3" fillId="0" borderId="17" xfId="172" applyNumberFormat="1" applyFont="1" applyFill="1" applyBorder="1"/>
    <xf numFmtId="170" fontId="3" fillId="0" borderId="17" xfId="166" applyNumberFormat="1" applyFont="1" applyFill="1" applyBorder="1"/>
    <xf numFmtId="170" fontId="3" fillId="0" borderId="15" xfId="166" applyNumberFormat="1" applyFont="1" applyFill="1" applyBorder="1"/>
    <xf numFmtId="170" fontId="3" fillId="0" borderId="14" xfId="166" applyNumberFormat="1" applyFont="1" applyFill="1" applyBorder="1"/>
    <xf numFmtId="170" fontId="8" fillId="0" borderId="21" xfId="166" applyNumberFormat="1" applyFont="1" applyFill="1" applyBorder="1"/>
    <xf numFmtId="170" fontId="8" fillId="0" borderId="1" xfId="166" applyNumberFormat="1" applyFont="1" applyFill="1" applyBorder="1"/>
    <xf numFmtId="170" fontId="8" fillId="0" borderId="20" xfId="166" applyNumberFormat="1" applyFont="1" applyFill="1" applyBorder="1"/>
    <xf numFmtId="170" fontId="3" fillId="0" borderId="16" xfId="166" applyNumberFormat="1" applyFont="1" applyFill="1" applyBorder="1"/>
    <xf numFmtId="170" fontId="58" fillId="0" borderId="0" xfId="166" applyNumberFormat="1" applyFont="1" applyFill="1" applyBorder="1"/>
    <xf numFmtId="0" fontId="2" fillId="0" borderId="0" xfId="0" applyFont="1" applyAlignment="1">
      <alignment horizontal="left" indent="2"/>
    </xf>
    <xf numFmtId="168" fontId="3" fillId="0" borderId="0" xfId="156" applyNumberFormat="1" applyFont="1"/>
    <xf numFmtId="170" fontId="3" fillId="26" borderId="23" xfId="166" applyNumberFormat="1" applyFont="1" applyFill="1" applyBorder="1"/>
    <xf numFmtId="170" fontId="3" fillId="26" borderId="19" xfId="166" applyNumberFormat="1" applyFont="1" applyFill="1" applyBorder="1"/>
    <xf numFmtId="170" fontId="3" fillId="26" borderId="0" xfId="166" applyNumberFormat="1" applyFont="1" applyFill="1" applyBorder="1"/>
    <xf numFmtId="170" fontId="3" fillId="26" borderId="1" xfId="166" applyNumberFormat="1" applyFont="1" applyFill="1" applyBorder="1"/>
    <xf numFmtId="170" fontId="3" fillId="26" borderId="14" xfId="166" applyNumberFormat="1" applyFont="1" applyFill="1" applyBorder="1"/>
    <xf numFmtId="170" fontId="3" fillId="26" borderId="17" xfId="166" applyNumberFormat="1" applyFont="1" applyFill="1" applyBorder="1"/>
    <xf numFmtId="0" fontId="52" fillId="0" borderId="0" xfId="0" applyFont="1"/>
    <xf numFmtId="170" fontId="4" fillId="0" borderId="0" xfId="166" applyNumberFormat="1" applyFont="1"/>
    <xf numFmtId="168" fontId="8" fillId="27" borderId="24" xfId="154" applyNumberFormat="1" applyFont="1" applyFill="1" applyBorder="1"/>
    <xf numFmtId="168" fontId="6" fillId="0" borderId="24" xfId="172" applyNumberFormat="1" applyFont="1" applyFill="1" applyBorder="1"/>
    <xf numFmtId="168" fontId="3" fillId="27" borderId="19" xfId="172" applyNumberFormat="1" applyFont="1" applyFill="1" applyBorder="1"/>
    <xf numFmtId="168" fontId="3" fillId="27" borderId="1" xfId="172" applyNumberFormat="1" applyFont="1" applyFill="1" applyBorder="1"/>
    <xf numFmtId="168" fontId="3" fillId="27" borderId="17" xfId="172" applyNumberFormat="1" applyFont="1" applyFill="1" applyBorder="1"/>
    <xf numFmtId="170" fontId="3" fillId="26" borderId="8" xfId="166" applyNumberFormat="1" applyFont="1" applyFill="1" applyBorder="1"/>
    <xf numFmtId="0" fontId="52" fillId="0" borderId="0" xfId="0" applyFont="1" applyAlignment="1">
      <alignment wrapText="1"/>
    </xf>
    <xf numFmtId="0" fontId="52" fillId="0" borderId="0" xfId="0" applyFont="1" applyAlignment="1">
      <alignment horizontal="left" wrapText="1"/>
    </xf>
    <xf numFmtId="170" fontId="59" fillId="0" borderId="0" xfId="166" applyNumberFormat="1" applyFont="1" applyFill="1" applyBorder="1"/>
    <xf numFmtId="168" fontId="60" fillId="0" borderId="0" xfId="0" applyNumberFormat="1" applyFont="1"/>
    <xf numFmtId="0" fontId="2" fillId="0" borderId="0" xfId="0" applyFont="1" applyAlignment="1">
      <alignment horizontal="left" indent="1"/>
    </xf>
    <xf numFmtId="168" fontId="8" fillId="27" borderId="22" xfId="154" applyNumberFormat="1" applyFont="1" applyFill="1" applyBorder="1"/>
    <xf numFmtId="168" fontId="8" fillId="26" borderId="19" xfId="154" applyNumberFormat="1" applyFont="1" applyFill="1" applyBorder="1"/>
    <xf numFmtId="168" fontId="3" fillId="0" borderId="15" xfId="172" applyNumberFormat="1" applyFont="1" applyFill="1" applyBorder="1"/>
    <xf numFmtId="168" fontId="3" fillId="27" borderId="22" xfId="172" applyNumberFormat="1" applyFont="1" applyFill="1" applyBorder="1"/>
    <xf numFmtId="168" fontId="3" fillId="27" borderId="15" xfId="172" applyNumberFormat="1" applyFont="1" applyFill="1" applyBorder="1"/>
    <xf numFmtId="186" fontId="4" fillId="0" borderId="0" xfId="0" applyNumberFormat="1" applyFont="1"/>
    <xf numFmtId="168" fontId="3" fillId="27" borderId="24" xfId="172" applyNumberFormat="1" applyFont="1" applyFill="1" applyBorder="1"/>
    <xf numFmtId="0" fontId="61" fillId="0" borderId="0" xfId="154" applyFont="1"/>
    <xf numFmtId="168" fontId="61" fillId="0" borderId="0" xfId="154" applyNumberFormat="1" applyFont="1"/>
    <xf numFmtId="169" fontId="3" fillId="0" borderId="0" xfId="154" applyNumberFormat="1" applyFont="1"/>
    <xf numFmtId="0" fontId="6" fillId="0" borderId="0" xfId="154" applyFont="1" applyAlignment="1">
      <alignment horizontal="center"/>
    </xf>
    <xf numFmtId="0" fontId="6" fillId="26" borderId="18" xfId="154" applyFont="1" applyFill="1" applyBorder="1" applyAlignment="1">
      <alignment horizontal="center"/>
    </xf>
    <xf numFmtId="0" fontId="6" fillId="26" borderId="8" xfId="154" applyFont="1" applyFill="1" applyBorder="1" applyAlignment="1">
      <alignment horizontal="center"/>
    </xf>
    <xf numFmtId="0" fontId="6" fillId="26" borderId="25" xfId="154" applyFont="1" applyFill="1" applyBorder="1" applyAlignment="1">
      <alignment horizontal="center"/>
    </xf>
    <xf numFmtId="0" fontId="6" fillId="26" borderId="16" xfId="154" applyFont="1" applyFill="1" applyBorder="1" applyAlignment="1">
      <alignment horizontal="center"/>
    </xf>
    <xf numFmtId="0" fontId="6" fillId="26" borderId="17" xfId="154" applyFont="1" applyFill="1" applyBorder="1" applyAlignment="1">
      <alignment horizontal="center"/>
    </xf>
    <xf numFmtId="0" fontId="6" fillId="26" borderId="14" xfId="154" applyFont="1" applyFill="1" applyBorder="1" applyAlignment="1">
      <alignment horizontal="center"/>
    </xf>
    <xf numFmtId="0" fontId="6" fillId="0" borderId="16" xfId="154" applyFont="1" applyBorder="1" applyAlignment="1">
      <alignment horizontal="center"/>
    </xf>
    <xf numFmtId="168" fontId="6" fillId="0" borderId="8" xfId="154" applyNumberFormat="1" applyFont="1" applyBorder="1"/>
    <xf numFmtId="168" fontId="6" fillId="0" borderId="25" xfId="154" applyNumberFormat="1" applyFont="1" applyBorder="1"/>
    <xf numFmtId="168" fontId="6" fillId="0" borderId="17" xfId="154" applyNumberFormat="1" applyFont="1" applyBorder="1"/>
    <xf numFmtId="168" fontId="6" fillId="0" borderId="15" xfId="154" applyNumberFormat="1" applyFont="1" applyBorder="1"/>
    <xf numFmtId="0" fontId="53" fillId="0" borderId="18" xfId="154" applyFont="1" applyBorder="1" applyAlignment="1">
      <alignment horizontal="center"/>
    </xf>
    <xf numFmtId="168" fontId="62" fillId="0" borderId="8" xfId="154" applyNumberFormat="1" applyFont="1" applyBorder="1"/>
    <xf numFmtId="168" fontId="62" fillId="0" borderId="25" xfId="154" applyNumberFormat="1" applyFont="1" applyBorder="1"/>
    <xf numFmtId="168" fontId="53" fillId="0" borderId="8" xfId="154" applyNumberFormat="1" applyFont="1" applyBorder="1"/>
    <xf numFmtId="0" fontId="3" fillId="0" borderId="18" xfId="154" applyFont="1" applyBorder="1" applyAlignment="1">
      <alignment horizontal="left"/>
    </xf>
    <xf numFmtId="168" fontId="6" fillId="0" borderId="26" xfId="154" applyNumberFormat="1" applyFont="1" applyBorder="1"/>
    <xf numFmtId="168" fontId="6" fillId="0" borderId="19" xfId="154" applyNumberFormat="1" applyFont="1" applyBorder="1"/>
    <xf numFmtId="168" fontId="6" fillId="0" borderId="22" xfId="154" applyNumberFormat="1" applyFont="1" applyBorder="1"/>
    <xf numFmtId="0" fontId="6" fillId="26" borderId="19" xfId="154" applyFont="1" applyFill="1" applyBorder="1" applyAlignment="1">
      <alignment horizontal="left"/>
    </xf>
    <xf numFmtId="0" fontId="6" fillId="26" borderId="20" xfId="154" applyFont="1" applyFill="1" applyBorder="1" applyAlignment="1">
      <alignment horizontal="left"/>
    </xf>
    <xf numFmtId="0" fontId="3" fillId="0" borderId="1" xfId="154" applyFont="1" applyBorder="1" applyAlignment="1">
      <alignment horizontal="left"/>
    </xf>
    <xf numFmtId="0" fontId="3" fillId="0" borderId="21" xfId="154" applyFont="1" applyBorder="1" applyAlignment="1">
      <alignment horizontal="left"/>
    </xf>
    <xf numFmtId="0" fontId="6" fillId="0" borderId="1" xfId="154" applyFont="1" applyBorder="1" applyAlignment="1">
      <alignment horizontal="left"/>
    </xf>
    <xf numFmtId="168" fontId="8" fillId="0" borderId="24" xfId="154" applyNumberFormat="1" applyFont="1" applyBorder="1"/>
    <xf numFmtId="168" fontId="8" fillId="0" borderId="1" xfId="154" applyNumberFormat="1" applyFont="1" applyBorder="1"/>
    <xf numFmtId="0" fontId="6" fillId="0" borderId="0" xfId="154" applyFont="1"/>
    <xf numFmtId="0" fontId="6" fillId="0" borderId="21" xfId="154" applyFont="1" applyBorder="1" applyAlignment="1">
      <alignment horizontal="left"/>
    </xf>
    <xf numFmtId="170" fontId="58" fillId="0" borderId="21" xfId="166" applyNumberFormat="1" applyFont="1" applyFill="1" applyBorder="1"/>
    <xf numFmtId="170" fontId="58" fillId="0" borderId="1" xfId="166" applyNumberFormat="1" applyFont="1" applyFill="1" applyBorder="1"/>
    <xf numFmtId="170" fontId="58" fillId="0" borderId="21" xfId="166" applyNumberFormat="1" applyFont="1" applyFill="1" applyBorder="1" applyAlignment="1"/>
    <xf numFmtId="170" fontId="58" fillId="0" borderId="1" xfId="166" applyNumberFormat="1" applyFont="1" applyFill="1" applyBorder="1" applyAlignment="1"/>
    <xf numFmtId="0" fontId="3" fillId="0" borderId="17" xfId="154" applyFont="1" applyBorder="1" applyAlignment="1">
      <alignment horizontal="left"/>
    </xf>
    <xf numFmtId="168" fontId="3" fillId="0" borderId="24" xfId="154" applyNumberFormat="1" applyFont="1" applyBorder="1"/>
    <xf numFmtId="168" fontId="3" fillId="0" borderId="1" xfId="154" applyNumberFormat="1" applyFont="1" applyBorder="1"/>
    <xf numFmtId="0" fontId="6" fillId="0" borderId="20" xfId="154" applyFont="1" applyBorder="1" applyAlignment="1">
      <alignment horizontal="left"/>
    </xf>
    <xf numFmtId="168" fontId="8" fillId="0" borderId="19" xfId="154" applyNumberFormat="1" applyFont="1" applyBorder="1"/>
    <xf numFmtId="168" fontId="8" fillId="0" borderId="22" xfId="154" applyNumberFormat="1" applyFont="1" applyBorder="1"/>
    <xf numFmtId="0" fontId="3" fillId="0" borderId="16" xfId="154" applyFont="1" applyBorder="1" applyAlignment="1">
      <alignment horizontal="left"/>
    </xf>
    <xf numFmtId="0" fontId="54" fillId="0" borderId="21" xfId="154" applyFont="1" applyBorder="1" applyAlignment="1">
      <alignment horizontal="left"/>
    </xf>
    <xf numFmtId="0" fontId="54" fillId="0" borderId="16" xfId="154" applyFont="1" applyBorder="1" applyAlignment="1">
      <alignment horizontal="left"/>
    </xf>
    <xf numFmtId="169" fontId="3" fillId="0" borderId="16" xfId="154" applyNumberFormat="1" applyFont="1" applyBorder="1" applyAlignment="1">
      <alignment horizontal="left"/>
    </xf>
    <xf numFmtId="168" fontId="3" fillId="0" borderId="17" xfId="154" applyNumberFormat="1" applyFont="1" applyBorder="1"/>
    <xf numFmtId="168" fontId="3" fillId="0" borderId="15" xfId="154" applyNumberFormat="1" applyFont="1" applyBorder="1"/>
    <xf numFmtId="186" fontId="3" fillId="0" borderId="21" xfId="154" applyNumberFormat="1" applyFont="1" applyBorder="1" applyAlignment="1">
      <alignment horizontal="left"/>
    </xf>
    <xf numFmtId="168" fontId="55" fillId="0" borderId="1" xfId="154" applyNumberFormat="1" applyFont="1" applyBorder="1"/>
    <xf numFmtId="168" fontId="55" fillId="0" borderId="24" xfId="154" applyNumberFormat="1" applyFont="1" applyBorder="1"/>
    <xf numFmtId="168" fontId="8" fillId="0" borderId="17" xfId="154" applyNumberFormat="1" applyFont="1" applyBorder="1"/>
    <xf numFmtId="168" fontId="8" fillId="0" borderId="15" xfId="154" applyNumberFormat="1" applyFont="1" applyBorder="1"/>
    <xf numFmtId="0" fontId="6" fillId="26" borderId="21" xfId="154" applyFont="1" applyFill="1" applyBorder="1" applyAlignment="1">
      <alignment horizontal="left"/>
    </xf>
    <xf numFmtId="0" fontId="6" fillId="26" borderId="16" xfId="154" applyFont="1" applyFill="1" applyBorder="1" applyAlignment="1">
      <alignment horizontal="left"/>
    </xf>
    <xf numFmtId="0" fontId="3" fillId="0" borderId="14" xfId="154" applyFont="1" applyBorder="1"/>
    <xf numFmtId="0" fontId="6" fillId="26" borderId="18" xfId="154" applyFont="1" applyFill="1" applyBorder="1" applyAlignment="1">
      <alignment horizontal="left"/>
    </xf>
    <xf numFmtId="168" fontId="2" fillId="0" borderId="0" xfId="0" applyNumberFormat="1" applyFont="1" applyAlignment="1">
      <alignment horizontal="left" indent="2"/>
    </xf>
    <xf numFmtId="168" fontId="2" fillId="0" borderId="0" xfId="0" applyNumberFormat="1" applyFont="1" applyAlignment="1">
      <alignment horizontal="left" indent="1"/>
    </xf>
    <xf numFmtId="4" fontId="3" fillId="0" borderId="0" xfId="154" applyNumberFormat="1" applyFont="1"/>
    <xf numFmtId="170" fontId="58" fillId="0" borderId="24" xfId="166" applyNumberFormat="1" applyFont="1" applyFill="1" applyBorder="1"/>
    <xf numFmtId="187" fontId="4" fillId="0" borderId="0" xfId="0" applyNumberFormat="1" applyFont="1"/>
    <xf numFmtId="0" fontId="5" fillId="0" borderId="27" xfId="0" applyFont="1" applyBorder="1" applyAlignment="1">
      <alignment horizontal="center"/>
    </xf>
    <xf numFmtId="168" fontId="6" fillId="0" borderId="1" xfId="171" applyNumberFormat="1" applyFont="1" applyFill="1" applyBorder="1"/>
    <xf numFmtId="168" fontId="3" fillId="0" borderId="1" xfId="171" applyNumberFormat="1" applyFont="1" applyFill="1" applyBorder="1"/>
    <xf numFmtId="168" fontId="3" fillId="0" borderId="17" xfId="171" applyNumberFormat="1" applyFont="1" applyFill="1" applyBorder="1"/>
    <xf numFmtId="168" fontId="3" fillId="0" borderId="24" xfId="171" applyNumberFormat="1" applyFont="1" applyFill="1" applyBorder="1"/>
    <xf numFmtId="168" fontId="3" fillId="26" borderId="22" xfId="171" applyNumberFormat="1" applyFont="1" applyFill="1" applyBorder="1"/>
    <xf numFmtId="168" fontId="3" fillId="26" borderId="24" xfId="171" applyNumberFormat="1" applyFont="1" applyFill="1" applyBorder="1"/>
    <xf numFmtId="168" fontId="3" fillId="26" borderId="15" xfId="171" applyNumberFormat="1" applyFont="1" applyFill="1" applyBorder="1"/>
    <xf numFmtId="168" fontId="52" fillId="0" borderId="0" xfId="0" applyNumberFormat="1" applyFont="1" applyAlignment="1">
      <alignment horizontal="left" wrapText="1"/>
    </xf>
    <xf numFmtId="49" fontId="4" fillId="0" borderId="0" xfId="132" applyNumberFormat="1" applyAlignment="1">
      <alignment horizontal="left" wrapText="1"/>
    </xf>
    <xf numFmtId="0" fontId="5" fillId="0" borderId="0" xfId="131" applyFont="1" applyAlignment="1">
      <alignment horizontal="center"/>
    </xf>
    <xf numFmtId="0" fontId="6" fillId="0" borderId="0" xfId="131" applyFont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0" xfId="136" applyFont="1" applyAlignment="1">
      <alignment horizontal="center"/>
    </xf>
    <xf numFmtId="0" fontId="5" fillId="0" borderId="0" xfId="136" applyFont="1" applyAlignment="1">
      <alignment horizontal="center"/>
    </xf>
    <xf numFmtId="0" fontId="6" fillId="0" borderId="0" xfId="154" applyFont="1" applyAlignment="1">
      <alignment horizontal="center"/>
    </xf>
    <xf numFmtId="49" fontId="6" fillId="26" borderId="18" xfId="154" applyNumberFormat="1" applyFont="1" applyFill="1" applyBorder="1" applyAlignment="1">
      <alignment horizontal="center" wrapText="1"/>
    </xf>
    <xf numFmtId="49" fontId="6" fillId="26" borderId="25" xfId="154" applyNumberFormat="1" applyFont="1" applyFill="1" applyBorder="1" applyAlignment="1">
      <alignment horizontal="center" wrapText="1"/>
    </xf>
  </cellXfs>
  <cellStyles count="201">
    <cellStyle name="1 indent" xfId="1" xr:uid="{3EC5F4EE-3D1B-4541-B73B-A5D5D4387334}"/>
    <cellStyle name="2 indents" xfId="2" xr:uid="{D50216F2-DA03-4BB4-981B-F0EF259F5D37}"/>
    <cellStyle name="20% - Accent1" xfId="3" xr:uid="{7E45690B-D195-473E-AF6C-AEBBE722F540}"/>
    <cellStyle name="20% - Accent1 2" xfId="4" xr:uid="{65D9F9EF-9743-4168-9D0E-4A321689443A}"/>
    <cellStyle name="20% - Accent2" xfId="5" xr:uid="{FD821A15-1C99-4EBE-91A8-C805B64761E0}"/>
    <cellStyle name="20% - Accent2 2" xfId="6" xr:uid="{E8F02002-F8AB-44AC-B2B8-D0A62F968BB9}"/>
    <cellStyle name="20% - Accent3" xfId="7" xr:uid="{F1174DDF-71A1-4C57-95C6-7C36DA3221E4}"/>
    <cellStyle name="20% - Accent3 2" xfId="8" xr:uid="{F3616ADA-1D57-44CD-993D-21F238C53497}"/>
    <cellStyle name="20% - Accent4" xfId="9" xr:uid="{45F8C976-9801-45EA-87A1-3B2B8D0C8BFF}"/>
    <cellStyle name="20% - Accent4 2" xfId="10" xr:uid="{ACD545EC-65C1-45B6-81CD-FE983C16BE0D}"/>
    <cellStyle name="20% - Accent5" xfId="11" xr:uid="{DD020686-1259-449D-A8D8-7377A19AB96F}"/>
    <cellStyle name="20% - Accent5 2" xfId="12" xr:uid="{0CC9A644-B3AA-4529-8C1A-C87BA620C119}"/>
    <cellStyle name="20% - Accent6" xfId="13" xr:uid="{C52FE784-AC01-4727-8916-B584110C96B3}"/>
    <cellStyle name="20% - Accent6 2" xfId="14" xr:uid="{EA57F394-A3CD-4DCA-BBEC-153065B8D674}"/>
    <cellStyle name="20% - Énfasis1 2" xfId="15" xr:uid="{CFD1EC36-5A54-4CF7-A129-8454A45FA6DA}"/>
    <cellStyle name="20% - Énfasis1 2 2" xfId="16" xr:uid="{A5CBCC16-9A84-4AD1-B82D-74EB0A0DF6A4}"/>
    <cellStyle name="20% - Énfasis2 2" xfId="17" xr:uid="{ACF9D1F5-710A-4279-A4D4-B87F5ECC6D41}"/>
    <cellStyle name="20% - Énfasis2 2 2" xfId="18" xr:uid="{B1172117-9BAA-4D8C-915D-9C6F3F1D4F48}"/>
    <cellStyle name="20% - Énfasis3 2" xfId="19" xr:uid="{BD96D0E6-4D98-4250-A720-21FC3CF2EBCB}"/>
    <cellStyle name="20% - Énfasis3 2 2" xfId="20" xr:uid="{F3960C01-2926-4E69-8980-3A2C89F96F4F}"/>
    <cellStyle name="20% - Énfasis4 2" xfId="21" xr:uid="{E506F1B2-BB0C-4B83-9738-2EDD0BAC4AA0}"/>
    <cellStyle name="20% - Énfasis4 2 2" xfId="22" xr:uid="{1ED00B15-2CAC-449A-9340-568BCBF30071}"/>
    <cellStyle name="20% - Énfasis5 2" xfId="23" xr:uid="{C464336E-88E8-42C8-973E-D2F05D4D8833}"/>
    <cellStyle name="20% - Énfasis5 2 2" xfId="24" xr:uid="{4E51038B-2F22-449F-AAAC-B4FA9BE2138D}"/>
    <cellStyle name="20% - Énfasis6 2" xfId="25" xr:uid="{8B5EB62A-6C9E-424E-AFCD-4362F3CB77EF}"/>
    <cellStyle name="20% - Énfasis6 2 2" xfId="26" xr:uid="{A4462C5D-BD20-46FD-93CF-0E22497DB7CE}"/>
    <cellStyle name="3 indents" xfId="27" xr:uid="{04E3AE88-A275-4892-888B-F3DA0D1452B7}"/>
    <cellStyle name="4 indents" xfId="28" xr:uid="{90FAA3D0-41E1-482A-89DC-3EEFF933A25A}"/>
    <cellStyle name="40% - Accent1" xfId="29" xr:uid="{CF53D9D5-7176-48FF-843F-0CACC37C1014}"/>
    <cellStyle name="40% - Accent1 2" xfId="30" xr:uid="{A2CD48DC-C647-40E2-9575-6311C2B7FD67}"/>
    <cellStyle name="40% - Accent2" xfId="31" xr:uid="{75014993-BE31-42D4-ADA6-E436085907B0}"/>
    <cellStyle name="40% - Accent2 2" xfId="32" xr:uid="{17F6A871-BB00-4873-8985-0FBC4B85E9DF}"/>
    <cellStyle name="40% - Accent3" xfId="33" xr:uid="{A300FD58-6FDF-43D9-99BD-AAA8DEB7D929}"/>
    <cellStyle name="40% - Accent3 2" xfId="34" xr:uid="{562BE5A2-C4BC-42F4-9F32-CA9E4FCCA01A}"/>
    <cellStyle name="40% - Accent4" xfId="35" xr:uid="{1308B25D-0771-48D6-8639-EDE58F6C8FCA}"/>
    <cellStyle name="40% - Accent4 2" xfId="36" xr:uid="{82846482-EE65-41F4-8336-0E39EF6D69A2}"/>
    <cellStyle name="40% - Accent5" xfId="37" xr:uid="{2395368B-E880-4958-91BB-FDC060FAF4A2}"/>
    <cellStyle name="40% - Accent5 2" xfId="38" xr:uid="{13B6CB99-872A-4C55-AB2D-3EAC6A3335DF}"/>
    <cellStyle name="40% - Accent6" xfId="39" xr:uid="{2A51AAB9-A09B-45F6-8196-B3BE2514C2E5}"/>
    <cellStyle name="40% - Accent6 2" xfId="40" xr:uid="{6465C1E9-EA34-477F-BD9C-B33A2C04D574}"/>
    <cellStyle name="40% - Énfasis1 2" xfId="41" xr:uid="{10CAAFC3-CBB9-4EE9-9F32-16F8D23A40A2}"/>
    <cellStyle name="40% - Énfasis1 2 2" xfId="42" xr:uid="{0BDFCD64-EEA5-4310-94A7-E5956E99CBF6}"/>
    <cellStyle name="40% - Énfasis2 2" xfId="43" xr:uid="{ADEE68A4-3DCF-41F2-92B9-2585DE25C7EF}"/>
    <cellStyle name="40% - Énfasis2 2 2" xfId="44" xr:uid="{AE53AE26-1991-481D-87AC-CBA4781229AF}"/>
    <cellStyle name="40% - Énfasis3 2" xfId="45" xr:uid="{20494AD4-9313-4E4F-A428-013648F85459}"/>
    <cellStyle name="40% - Énfasis3 2 2" xfId="46" xr:uid="{12DF719D-05D1-4886-9C11-8029CB5A0D12}"/>
    <cellStyle name="40% - Énfasis4 2" xfId="47" xr:uid="{E8E7BB92-7944-4426-AF29-0187ACDEAC52}"/>
    <cellStyle name="40% - Énfasis4 2 2" xfId="48" xr:uid="{2B9F9F68-152B-4CAE-B685-2170F36BAFA6}"/>
    <cellStyle name="40% - Énfasis5 2" xfId="49" xr:uid="{43599663-4637-4A4D-8903-C34D0F61B509}"/>
    <cellStyle name="40% - Énfasis5 2 2" xfId="50" xr:uid="{C2A35824-1F85-4CCD-9307-C35DC17CF3BC}"/>
    <cellStyle name="40% - Énfasis6 2" xfId="51" xr:uid="{3A7A517F-E758-4E63-8A64-8DCF77205480}"/>
    <cellStyle name="40% - Énfasis6 2 2" xfId="52" xr:uid="{6294EE43-6F81-47B6-B32E-8B6B28015CED}"/>
    <cellStyle name="5 indents" xfId="53" xr:uid="{E385D7E7-5860-4E9E-AD14-24906C43FA18}"/>
    <cellStyle name="60% - Accent1" xfId="54" xr:uid="{B1125132-396B-43EA-B26E-EB7B48105AAC}"/>
    <cellStyle name="60% - Accent2" xfId="55" xr:uid="{3437E80E-6D13-4D1A-9F05-FB250F8814A9}"/>
    <cellStyle name="60% - Accent3" xfId="56" xr:uid="{828AE686-4E26-4841-8882-8B3C386380FE}"/>
    <cellStyle name="60% - Accent4" xfId="57" xr:uid="{968CB1AB-7FD0-4549-B253-3784687E3EC1}"/>
    <cellStyle name="60% - Accent5" xfId="58" xr:uid="{C2C1AF56-449E-4A40-9365-738AEBE5958A}"/>
    <cellStyle name="60% - Accent6" xfId="59" xr:uid="{F2269F70-C77D-4C88-9A62-674E6E9D94DB}"/>
    <cellStyle name="60% - Énfasis1 2" xfId="60" xr:uid="{1B88DF57-ED23-46D6-AE32-432A6146B28B}"/>
    <cellStyle name="60% - Énfasis2 2" xfId="61" xr:uid="{D90C068D-D186-4740-96E0-C6D56BCA2A89}"/>
    <cellStyle name="60% - Énfasis3 2" xfId="62" xr:uid="{B42AC976-4470-430D-9F8C-76FEF5D15896}"/>
    <cellStyle name="60% - Énfasis4 2" xfId="63" xr:uid="{2DA481DA-0646-462C-9C28-4D24C1FDE5DF}"/>
    <cellStyle name="60% - Énfasis5 2" xfId="64" xr:uid="{48E60C08-F23F-4A23-916D-ED71E5AD1284}"/>
    <cellStyle name="60% - Énfasis6 2" xfId="65" xr:uid="{E5811547-42A0-406A-893E-6DC3B7AE1AEB}"/>
    <cellStyle name="Accent1" xfId="66" xr:uid="{10AAD19F-B780-4523-AA5A-D5A6A34A7E7F}"/>
    <cellStyle name="Accent2" xfId="67" xr:uid="{1421F5F4-A100-4801-AADE-A94FD4653732}"/>
    <cellStyle name="Accent3" xfId="68" xr:uid="{F0151A68-F98E-4323-9342-C63A66B15EFD}"/>
    <cellStyle name="Accent4" xfId="69" xr:uid="{441D8CE9-8245-42C0-8265-152E14D8C538}"/>
    <cellStyle name="Accent5" xfId="70" xr:uid="{E72E975B-EF5B-419B-94A4-F57FD597C18B}"/>
    <cellStyle name="Accent6" xfId="71" xr:uid="{96858028-EF8B-4BB1-B692-C30DE81BECC8}"/>
    <cellStyle name="Array" xfId="72" xr:uid="{13FA12E1-EADC-4658-8344-8C89B2FE0804}"/>
    <cellStyle name="Array Enter" xfId="73" xr:uid="{E9974425-7A19-469C-99E4-B37B1411804B}"/>
    <cellStyle name="Bad" xfId="74" xr:uid="{9385F10E-072C-453C-86DA-6D7DB8043357}"/>
    <cellStyle name="Buena 2" xfId="75" xr:uid="{2F3F252F-6B23-468C-81F1-59E1558A7EE2}"/>
    <cellStyle name="Calculation" xfId="76" xr:uid="{AFDF1667-E4B8-49D9-AA1F-39057A434C68}"/>
    <cellStyle name="Cálculo 2" xfId="77" xr:uid="{A8AE48FA-990D-40C0-98BD-91CA7F17F175}"/>
    <cellStyle name="Celda de comprobación 2" xfId="78" xr:uid="{76246B3A-0D8C-432D-B32E-A7D4E2BCAB07}"/>
    <cellStyle name="Celda vinculada 2" xfId="79" xr:uid="{FB08A1F3-FE07-4FFF-9AC3-B8D5751B0175}"/>
    <cellStyle name="Check Cell" xfId="80" xr:uid="{E47DA359-5362-4FF4-BB47-50FBAFFC63FA}"/>
    <cellStyle name="Encabezado 4 2" xfId="81" xr:uid="{295F2EE6-51F2-4393-A123-06CA9F5B3258}"/>
    <cellStyle name="Énfasis1 2" xfId="82" xr:uid="{A7079C2B-EA7A-4E60-96F2-3670AC963472}"/>
    <cellStyle name="Énfasis2 2" xfId="83" xr:uid="{8A5CD3B9-889E-40B4-96BC-288C7670C628}"/>
    <cellStyle name="Énfasis3 2" xfId="84" xr:uid="{53719572-C360-4E21-8FCC-7E40ADA13A21}"/>
    <cellStyle name="Énfasis4 2" xfId="85" xr:uid="{5960415B-2BBD-4B68-B14F-A9AC59AFA677}"/>
    <cellStyle name="Énfasis5 2" xfId="86" xr:uid="{0D12B155-5EE7-479A-A501-C9BD96CA3990}"/>
    <cellStyle name="Énfasis6 2" xfId="87" xr:uid="{A1F140AF-C36D-46D4-807F-528CD5FF6519}"/>
    <cellStyle name="Entrada 2" xfId="88" xr:uid="{59784EE8-5978-4505-B2AF-CB83FBA6D9A9}"/>
    <cellStyle name="Est.Fin." xfId="89" xr:uid="{3EDB12EE-9FB0-4BF7-A9A3-1709C71060D1}"/>
    <cellStyle name="Est.Fin. 2" xfId="90" xr:uid="{97F00487-7F0F-4C7E-8850-901EF7AC919F}"/>
    <cellStyle name="Estilo 1" xfId="91" xr:uid="{5ED4D93D-B598-45E8-B515-A1B606AD113A}"/>
    <cellStyle name="Euro" xfId="92" xr:uid="{27DA2E34-15AC-4804-A9B5-EFF9D31B9BEF}"/>
    <cellStyle name="Euro 2" xfId="93" xr:uid="{CE1ADCC6-539C-4109-9DCD-2D55323AC2C9}"/>
    <cellStyle name="Euro 3" xfId="94" xr:uid="{F60D35B3-83C5-4498-83AA-CA15F141A1F5}"/>
    <cellStyle name="Euro 3 2" xfId="95" xr:uid="{432B749A-C7AA-44E1-AD26-322058F86F26}"/>
    <cellStyle name="Explanatory Text" xfId="96" xr:uid="{0265F41A-D283-4D4A-90E1-7E0C9514D8BA}"/>
    <cellStyle name="Good" xfId="97" xr:uid="{6FB0B0F3-9B08-47AF-A282-9EE31226EA3F}"/>
    <cellStyle name="Grey" xfId="98" xr:uid="{32CD3413-4CC0-48FE-8D3A-850396FC5EC1}"/>
    <cellStyle name="Heading 1" xfId="99" xr:uid="{16F2E673-11D1-42E7-8FEB-71A23F1E0816}"/>
    <cellStyle name="Heading 2" xfId="100" xr:uid="{E5BDBB81-00A8-43B2-A186-4AB1D031E186}"/>
    <cellStyle name="Heading 3" xfId="101" xr:uid="{A308396F-8308-4715-9C0D-A3D2DE4B929A}"/>
    <cellStyle name="Heading 4" xfId="102" xr:uid="{1D87288A-EAB0-4840-9747-012E0A5E76EC}"/>
    <cellStyle name="imf-one decimal" xfId="103" xr:uid="{A4CC3444-DEC9-4FD0-B7A5-E2A99E7C50E7}"/>
    <cellStyle name="imf-zero decimal" xfId="104" xr:uid="{31AAADE3-E7C4-4FFE-9173-ADBD9FFE61D9}"/>
    <cellStyle name="Incorrecto 2" xfId="105" xr:uid="{368EA7A9-F16C-4823-8FC3-F19903B4CE06}"/>
    <cellStyle name="Input" xfId="106" xr:uid="{41235A1C-A064-48B6-8E8B-55E4E4AAF7E9}"/>
    <cellStyle name="Input [yellow]" xfId="107" xr:uid="{574BD9D0-968C-40B3-B802-A0BCC5CABE7F}"/>
    <cellStyle name="Linked Cell" xfId="108" xr:uid="{35825A16-9B57-4DF0-BB4A-91FBB2BB6B5E}"/>
    <cellStyle name="MacroCode" xfId="109" xr:uid="{914BBF38-E3C1-465B-A08B-C70FA221E926}"/>
    <cellStyle name="Millares" xfId="110" builtinId="3"/>
    <cellStyle name="Millares 2" xfId="111" xr:uid="{C891218D-85F4-457B-A2F8-0B7B2AC3C9EE}"/>
    <cellStyle name="Millares 2 2" xfId="112" xr:uid="{97B9CDD2-B99E-4884-A76C-8711FCA1006B}"/>
    <cellStyle name="Millares 3" xfId="113" xr:uid="{BBEE3DD3-1797-4B2F-BE52-5370F8231EAA}"/>
    <cellStyle name="Millares 3 2" xfId="114" xr:uid="{BE3B6627-4CCB-4D3C-9556-14014F288CA1}"/>
    <cellStyle name="Millares 4" xfId="115" xr:uid="{36F751FE-ECC4-4F61-B290-45F277FCE595}"/>
    <cellStyle name="Millares 4 2" xfId="116" xr:uid="{3FDEAC5C-5605-4A66-AA9E-8387120179DA}"/>
    <cellStyle name="Millares 5" xfId="117" xr:uid="{EBB6F464-F615-4A72-B825-32A5F96ABDFF}"/>
    <cellStyle name="Millares 5 2" xfId="118" xr:uid="{61A20996-328B-48A5-AA58-5342972EDDEC}"/>
    <cellStyle name="Millares 6" xfId="119" xr:uid="{1394ED7A-3DA9-44BD-89E6-64D8425DF1B2}"/>
    <cellStyle name="Millares 6 2" xfId="120" xr:uid="{33091E00-01CA-4D49-80F0-649CA8BED465}"/>
    <cellStyle name="Milliers [0]_Encours - Apr rééch" xfId="121" xr:uid="{61D01391-ED85-4214-B765-28CD527C5BD4}"/>
    <cellStyle name="Milliers_Encours - Apr rééch" xfId="122" xr:uid="{F666400E-568E-4B4B-8A12-B7DE45241037}"/>
    <cellStyle name="Monétaire [0]_Encours - Apr rééch" xfId="123" xr:uid="{FDC12078-F42B-4BEA-A061-24D60C30228F}"/>
    <cellStyle name="Monétaire_Encours - Apr rééch" xfId="124" xr:uid="{9FE67CC2-23EE-4A77-B0FC-8BA06BB20840}"/>
    <cellStyle name="Neutral 2" xfId="125" xr:uid="{C71968F6-EC61-4E48-ABC0-3125B6AC4902}"/>
    <cellStyle name="No-definido" xfId="126" xr:uid="{9B612144-8C21-44DB-94AA-28FCEC9A6A99}"/>
    <cellStyle name="Normal" xfId="0" builtinId="0"/>
    <cellStyle name="Normal - Modelo1" xfId="127" xr:uid="{6A38118E-8189-45A2-8993-09E76ECD3A60}"/>
    <cellStyle name="Normal - Style1" xfId="128" xr:uid="{16D5CB6A-4DAF-41FD-B0C1-2A6F2D7B2B02}"/>
    <cellStyle name="Normal - Style2" xfId="129" xr:uid="{E34BF43F-65FC-476E-BF5F-4D5D5CFF9864}"/>
    <cellStyle name="Normal - Style3" xfId="130" xr:uid="{F01DD804-CE5F-42B7-B165-7A2A9526AC4F}"/>
    <cellStyle name="Normal 2" xfId="131" xr:uid="{9C702A4F-F326-40DD-8CF6-07A05969FBED}"/>
    <cellStyle name="Normal 2 2" xfId="132" xr:uid="{9FBD1A12-5B55-45EF-8EB4-BC0B738CBF0B}"/>
    <cellStyle name="Normal 2 2 2" xfId="133" xr:uid="{C97052C1-4485-4F9F-B4AC-60CDE8CDE113}"/>
    <cellStyle name="Normal 2 3" xfId="134" xr:uid="{94B3F246-D450-49A4-9C50-160A8A2C13F9}"/>
    <cellStyle name="Normal 2 4" xfId="135" xr:uid="{2E4DE661-A90B-42DE-ACB7-AD56CAF1B915}"/>
    <cellStyle name="Normal 3" xfId="136" xr:uid="{ED21EB4D-7218-400F-A8FE-A39B7EA0F6A2}"/>
    <cellStyle name="Normal 3 2" xfId="137" xr:uid="{F0A5A39A-4CE1-4A47-A414-9263DD3F1C39}"/>
    <cellStyle name="Normal 3 2 2" xfId="138" xr:uid="{884ADC3D-9A1D-4574-9C03-0CF6596B1BAB}"/>
    <cellStyle name="Normal 3 3" xfId="139" xr:uid="{A5A51BF4-50BA-4B7F-9F41-BAE9417CCE7E}"/>
    <cellStyle name="Normal 3 4" xfId="140" xr:uid="{3B51E1EE-D0C4-43D9-B537-4E04EF5D565E}"/>
    <cellStyle name="Normal 4" xfId="141" xr:uid="{C7778D1C-4F03-48D1-974F-5304AD81F948}"/>
    <cellStyle name="Normal 4 2" xfId="142" xr:uid="{FA606246-0A1F-45B5-AC4E-762EFE97D94D}"/>
    <cellStyle name="Normal 5" xfId="143" xr:uid="{D744EDED-D1AD-4FB3-9108-422F6B632934}"/>
    <cellStyle name="Normal 5 2" xfId="144" xr:uid="{ED1F0114-C5CA-45CC-8C2B-FBFA4CCF38FF}"/>
    <cellStyle name="Normal 6" xfId="145" xr:uid="{3110A7EA-69E5-4C07-A420-34AD8C67DEB1}"/>
    <cellStyle name="Normal 6 2" xfId="146" xr:uid="{A71211C4-0C64-4CF2-9BAF-8217EBE948BD}"/>
    <cellStyle name="Normal 7" xfId="147" xr:uid="{06D83A8E-8918-437B-A324-1AC6C025EE07}"/>
    <cellStyle name="Normal 8" xfId="148" xr:uid="{1692DE55-31E6-4F7B-A24E-0F10393BF258}"/>
    <cellStyle name="Normal 9" xfId="149" xr:uid="{EF637A76-8A94-4A15-896A-2B2CF9BCC0B9}"/>
    <cellStyle name="Normal Table" xfId="150" xr:uid="{ACC8B9EB-A875-40CA-A12E-B353BFD7CB7E}"/>
    <cellStyle name="Normal Table 2" xfId="151" xr:uid="{2A8AA0C8-D086-4DE6-ADA6-9056320C8772}"/>
    <cellStyle name="Normal_Cuadro Resumen 05-06" xfId="152" xr:uid="{673879A6-FCC7-4038-A545-95C6EB37CA7B}"/>
    <cellStyle name="Normal_Cuadro Resumen 05-06 2" xfId="153" xr:uid="{1F58994E-7F39-458A-A5A9-2F43837ABB75}"/>
    <cellStyle name="Normal_Cuadro Resumen 05-06 2 2" xfId="154" xr:uid="{03CD8F4F-A2FE-41A9-B4C5-FC1E3A5EDB2C}"/>
    <cellStyle name="Normal_plantilla para datos fiscales" xfId="155" xr:uid="{E007FE17-CB5D-4413-BD86-548508567511}"/>
    <cellStyle name="Normal_plantilla para datos fiscales 2" xfId="156" xr:uid="{A07DB5BC-0164-4A29-BC0D-CB6213628C0A}"/>
    <cellStyle name="Notas 2" xfId="157" xr:uid="{6A32494B-F85E-4C4D-BBF4-F0ED6B224200}"/>
    <cellStyle name="Note" xfId="158" xr:uid="{AA05E47C-D4EF-4DAE-A1BD-0AB243116640}"/>
    <cellStyle name="Note 2" xfId="159" xr:uid="{CB1FCADE-1CD5-487C-A534-004F7CF576EF}"/>
    <cellStyle name="Output" xfId="160" xr:uid="{0F11A59D-DB05-4B3D-9C6A-FDFA2FB8D0D6}"/>
    <cellStyle name="Percent [2]" xfId="161" xr:uid="{D35D47F7-C98F-4AA1-A154-2DC4FBF26C1D}"/>
    <cellStyle name="percentage difference" xfId="162" xr:uid="{82EC9D74-E482-4A2D-976F-BD85E6853701}"/>
    <cellStyle name="percentage difference 2" xfId="163" xr:uid="{82DAA732-1069-4497-A199-0F3C7324B7BD}"/>
    <cellStyle name="percentage difference one decimal" xfId="164" xr:uid="{FE80782C-0483-4DB1-9F9C-A1CFA5096714}"/>
    <cellStyle name="percentage difference zero decimal" xfId="165" xr:uid="{D3BC008D-1604-46F5-A1F1-6660699BD740}"/>
    <cellStyle name="Porcentaje" xfId="166" builtinId="5"/>
    <cellStyle name="Porcentaje 2" xfId="167" xr:uid="{54369EB0-D033-4BA6-B636-3B898AE9AA72}"/>
    <cellStyle name="Porcentaje 2 2" xfId="168" xr:uid="{7153B5DD-5064-4C65-9634-5EA2855BB9E3}"/>
    <cellStyle name="Porcentaje 3" xfId="169" xr:uid="{4FB0E7E1-FF1E-4432-9CA5-035DE2941719}"/>
    <cellStyle name="Porcentaje 3 2" xfId="170" xr:uid="{4E5752CC-0A52-4AFB-9EA6-066CAC61EAD2}"/>
    <cellStyle name="Porcentual 2" xfId="171" xr:uid="{BD3FF26B-4827-442C-B632-A70F857C3104}"/>
    <cellStyle name="Porcentual 2 10" xfId="172" xr:uid="{990C680C-C66F-4852-B4A1-473687844D49}"/>
    <cellStyle name="Porcentual 2 2" xfId="173" xr:uid="{B2E8F3B3-A373-4875-87F1-B27DB39E04A2}"/>
    <cellStyle name="Presentation" xfId="174" xr:uid="{EAB891B2-5049-4057-9B09-604C50083417}"/>
    <cellStyle name="Presentation 2" xfId="175" xr:uid="{FFD1F31A-3EC5-4381-91AB-FABBE633DBEF}"/>
    <cellStyle name="Publication" xfId="176" xr:uid="{03CF0B75-E8EE-4B0B-A7F1-8F13AB0FE9EC}"/>
    <cellStyle name="Red Text" xfId="177" xr:uid="{F6256D2A-B7F3-4072-BCE1-B86263391B80}"/>
    <cellStyle name="Salida 2" xfId="178" xr:uid="{2DE73ABB-E09F-4B9A-BD38-64DB7810533A}"/>
    <cellStyle name="Style1" xfId="179" xr:uid="{0D809A1E-277D-414D-8FF6-E8145DB52070}"/>
    <cellStyle name="Text" xfId="180" xr:uid="{B649A40E-61DF-44C8-A231-4D1489C3FCFF}"/>
    <cellStyle name="Texto de advertencia 2" xfId="181" xr:uid="{CD6B97EE-872C-4888-B5C8-5A06FB073F10}"/>
    <cellStyle name="Texto explicativo 2" xfId="182" xr:uid="{2DFE8521-E4A0-45D3-A467-D89C1A929EA5}"/>
    <cellStyle name="Title" xfId="183" xr:uid="{2D09CF66-68E6-46AD-AF15-35030F11F444}"/>
    <cellStyle name="Título 1 2" xfId="184" xr:uid="{63517D1C-8268-41A9-BCE0-406A06DCC759}"/>
    <cellStyle name="Título 2 2" xfId="185" xr:uid="{FC928EDD-D691-46A5-B91F-C2245999D9EA}"/>
    <cellStyle name="Título 3 2" xfId="186" xr:uid="{F1C6DC42-2EC9-4108-903C-F7571B865272}"/>
    <cellStyle name="Título 4" xfId="187" xr:uid="{5335A412-49A9-4C18-B9E2-6556CF66718E}"/>
    <cellStyle name="TopGrey" xfId="188" xr:uid="{7759A89B-A961-49B0-94D0-057D93D6DA63}"/>
    <cellStyle name="Total 2" xfId="189" xr:uid="{CE38DCA9-4ABF-46EF-A7BC-7FA2E3362531}"/>
    <cellStyle name="Warning Text" xfId="190" xr:uid="{B0C6DC75-0AEC-48C7-A146-1EFE0A7C131B}"/>
    <cellStyle name="ДАТА" xfId="191" xr:uid="{AB7679AE-1EA8-4D26-89C4-9A505A92898E}"/>
    <cellStyle name="ДЕНЕЖНЫЙ_BOPENGC" xfId="192" xr:uid="{B7A26D5E-E7EE-423A-9FCA-9C9175C57DE2}"/>
    <cellStyle name="ЗАГОЛОВОК1" xfId="193" xr:uid="{ABCB3C6A-8335-4906-B141-C19939918D7D}"/>
    <cellStyle name="ЗАГОЛОВОК2" xfId="194" xr:uid="{4B04DA0E-8252-4B31-B812-5710824CAAE9}"/>
    <cellStyle name="ИТОГОВЫЙ" xfId="195" xr:uid="{DD53B97A-74C0-4132-8242-E4FD2D402438}"/>
    <cellStyle name="Обычный_BOPENGC" xfId="196" xr:uid="{812309FA-52E4-45D4-8AAC-E7F7584EA350}"/>
    <cellStyle name="ПРОЦЕНТНЫЙ_BOPENGC" xfId="197" xr:uid="{F3E09318-C94C-47E3-A1EF-D7FAA74EF151}"/>
    <cellStyle name="ТЕКСТ" xfId="198" xr:uid="{9CD51ED7-B18D-4B45-8698-87960083701F}"/>
    <cellStyle name="ФИКСИРОВАННЫЙ" xfId="199" xr:uid="{BEA92E0F-A266-4AD0-A0DF-738A0F585EAF}"/>
    <cellStyle name="ФИНАНСОВЫЙ_BOPENGC" xfId="200" xr:uid="{4B19F285-B6EB-42FA-BD9B-3EB61D9DAD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66675</xdr:colOff>
      <xdr:row>4</xdr:row>
      <xdr:rowOff>57150</xdr:rowOff>
    </xdr:to>
    <xdr:pic>
      <xdr:nvPicPr>
        <xdr:cNvPr id="8273" name="Imagen 6">
          <a:extLst>
            <a:ext uri="{FF2B5EF4-FFF2-40B4-BE49-F238E27FC236}">
              <a16:creationId xmlns:a16="http://schemas.microsoft.com/office/drawing/2014/main" id="{14E59267-D2E3-CA32-0E4B-79B220BE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3209925</xdr:colOff>
      <xdr:row>4</xdr:row>
      <xdr:rowOff>57150</xdr:rowOff>
    </xdr:to>
    <xdr:pic>
      <xdr:nvPicPr>
        <xdr:cNvPr id="7275" name="Imagen 6">
          <a:extLst>
            <a:ext uri="{FF2B5EF4-FFF2-40B4-BE49-F238E27FC236}">
              <a16:creationId xmlns:a16="http://schemas.microsoft.com/office/drawing/2014/main" id="{3290B763-FD5D-77EC-B95F-F7E9DA9A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28575</xdr:rowOff>
    </xdr:from>
    <xdr:to>
      <xdr:col>8</xdr:col>
      <xdr:colOff>1828800</xdr:colOff>
      <xdr:row>4</xdr:row>
      <xdr:rowOff>0</xdr:rowOff>
    </xdr:to>
    <xdr:pic>
      <xdr:nvPicPr>
        <xdr:cNvPr id="4138" name="Imagen 6">
          <a:extLst>
            <a:ext uri="{FF2B5EF4-FFF2-40B4-BE49-F238E27FC236}">
              <a16:creationId xmlns:a16="http://schemas.microsoft.com/office/drawing/2014/main" id="{EA11E6D0-D6A1-C6A4-C489-D3B61E6F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8575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A2A1-E05B-4360-96F8-0522C623FB1C}">
  <dimension ref="A1:AR94"/>
  <sheetViews>
    <sheetView zoomScaleNormal="100" workbookViewId="0">
      <pane xSplit="2" ySplit="7" topLeftCell="P60" activePane="bottomRight" state="frozen"/>
      <selection pane="topRight" activeCell="C1" sqref="C1"/>
      <selection pane="bottomLeft" activeCell="A8" sqref="A8"/>
      <selection pane="bottomRight" activeCell="V78" sqref="V78"/>
    </sheetView>
  </sheetViews>
  <sheetFormatPr baseColWidth="10" defaultRowHeight="12.75"/>
  <cols>
    <col min="1" max="1" width="3.85546875" style="1" customWidth="1"/>
    <col min="2" max="2" width="37.28515625" style="1" customWidth="1"/>
    <col min="3" max="13" width="10" style="1" hidden="1" customWidth="1"/>
    <col min="14" max="14" width="11.140625" style="1" hidden="1" customWidth="1"/>
    <col min="15" max="15" width="10" style="1" hidden="1" customWidth="1"/>
    <col min="16" max="16" width="10.7109375" style="1" bestFit="1" customWidth="1"/>
    <col min="17" max="17" width="10" style="1" bestFit="1" customWidth="1"/>
    <col min="18" max="18" width="10.7109375" style="1" bestFit="1" customWidth="1"/>
    <col min="19" max="22" width="10.7109375" style="1" customWidth="1"/>
    <col min="23" max="23" width="10" style="7" hidden="1" customWidth="1"/>
    <col min="24" max="28" width="7.42578125" style="7" hidden="1" customWidth="1"/>
    <col min="29" max="29" width="7.7109375" style="7" hidden="1" customWidth="1"/>
    <col min="30" max="30" width="8" style="7" hidden="1" customWidth="1"/>
    <col min="31" max="31" width="7.42578125" style="1" hidden="1" customWidth="1"/>
    <col min="32" max="32" width="7.7109375" style="1" hidden="1" customWidth="1"/>
    <col min="33" max="33" width="7.42578125" style="1" hidden="1" customWidth="1"/>
    <col min="34" max="34" width="8" style="1" hidden="1" customWidth="1"/>
    <col min="35" max="35" width="9.7109375" style="1" bestFit="1" customWidth="1"/>
    <col min="36" max="37" width="7.42578125" style="1" bestFit="1" customWidth="1"/>
    <col min="38" max="38" width="8.140625" style="1" customWidth="1"/>
    <col min="39" max="41" width="7.42578125" style="1" bestFit="1" customWidth="1"/>
    <col min="42" max="16384" width="11.42578125" style="1"/>
  </cols>
  <sheetData>
    <row r="1" spans="1:44">
      <c r="AE1" s="8"/>
      <c r="AF1" s="8"/>
      <c r="AG1" s="8"/>
    </row>
    <row r="2" spans="1:44">
      <c r="A2" s="201" t="s">
        <v>54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</row>
    <row r="3" spans="1:44">
      <c r="A3" s="201" t="s">
        <v>80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</row>
    <row r="4" spans="1:44">
      <c r="A4" s="202" t="s">
        <v>43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</row>
    <row r="5" spans="1:44" ht="13.5" thickBo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0"/>
      <c r="Y5" s="10"/>
      <c r="Z5" s="10"/>
      <c r="AA5" s="10"/>
      <c r="AB5" s="10"/>
      <c r="AC5" s="10"/>
      <c r="AD5" s="10"/>
      <c r="AE5" s="11"/>
      <c r="AF5" s="11"/>
      <c r="AG5" s="11"/>
      <c r="AH5" s="9"/>
      <c r="AI5" s="9"/>
      <c r="AJ5" s="9"/>
      <c r="AK5" s="9"/>
      <c r="AL5" s="9"/>
      <c r="AM5" s="9"/>
      <c r="AN5" s="9"/>
      <c r="AO5" s="9"/>
    </row>
    <row r="6" spans="1:44" ht="13.5" thickTop="1">
      <c r="C6" s="203" t="s">
        <v>46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191"/>
      <c r="W6" s="203" t="s">
        <v>19</v>
      </c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</row>
    <row r="7" spans="1:44">
      <c r="B7" s="12" t="s">
        <v>0</v>
      </c>
      <c r="C7" s="13">
        <v>2006</v>
      </c>
      <c r="D7" s="13">
        <v>2007</v>
      </c>
      <c r="E7" s="13">
        <v>2008</v>
      </c>
      <c r="F7" s="13">
        <v>2009</v>
      </c>
      <c r="G7" s="13">
        <v>2010</v>
      </c>
      <c r="H7" s="13">
        <v>2011</v>
      </c>
      <c r="I7" s="13">
        <v>2012</v>
      </c>
      <c r="J7" s="13">
        <v>2013</v>
      </c>
      <c r="K7" s="13">
        <v>2014</v>
      </c>
      <c r="L7" s="56">
        <v>2015</v>
      </c>
      <c r="M7" s="56">
        <v>2016</v>
      </c>
      <c r="N7" s="56">
        <v>2017</v>
      </c>
      <c r="O7" s="56">
        <v>2018</v>
      </c>
      <c r="P7" s="56">
        <v>2019</v>
      </c>
      <c r="Q7" s="56">
        <v>2020</v>
      </c>
      <c r="R7" s="56">
        <v>2021</v>
      </c>
      <c r="S7" s="56">
        <v>2022</v>
      </c>
      <c r="T7" s="56">
        <v>2023</v>
      </c>
      <c r="U7" s="56">
        <v>2024</v>
      </c>
      <c r="V7" s="56">
        <v>2025</v>
      </c>
      <c r="W7" s="14" t="s">
        <v>55</v>
      </c>
      <c r="X7" s="14" t="s">
        <v>56</v>
      </c>
      <c r="Y7" s="14" t="s">
        <v>57</v>
      </c>
      <c r="Z7" s="14" t="s">
        <v>58</v>
      </c>
      <c r="AA7" s="14" t="s">
        <v>59</v>
      </c>
      <c r="AB7" s="14" t="s">
        <v>60</v>
      </c>
      <c r="AC7" s="14" t="s">
        <v>61</v>
      </c>
      <c r="AD7" s="14" t="s">
        <v>62</v>
      </c>
      <c r="AE7" s="14" t="s">
        <v>63</v>
      </c>
      <c r="AF7" s="14" t="s">
        <v>64</v>
      </c>
      <c r="AG7" s="14" t="s">
        <v>65</v>
      </c>
      <c r="AH7" s="14" t="s">
        <v>78</v>
      </c>
      <c r="AI7" s="14" t="s">
        <v>66</v>
      </c>
      <c r="AJ7" s="14" t="s">
        <v>67</v>
      </c>
      <c r="AK7" s="14" t="s">
        <v>68</v>
      </c>
      <c r="AL7" s="14" t="s">
        <v>70</v>
      </c>
      <c r="AM7" s="14" t="s">
        <v>77</v>
      </c>
      <c r="AN7" s="14" t="s">
        <v>79</v>
      </c>
      <c r="AO7" s="14" t="s">
        <v>81</v>
      </c>
    </row>
    <row r="8" spans="1:44">
      <c r="C8" s="7"/>
      <c r="D8" s="7"/>
      <c r="AI8" s="47"/>
    </row>
    <row r="9" spans="1:44" ht="14.25">
      <c r="A9" s="1">
        <v>1</v>
      </c>
      <c r="B9" s="4" t="s">
        <v>53</v>
      </c>
      <c r="C9" s="22">
        <f t="shared" ref="C9:I9" si="0">+C11+C34</f>
        <v>207325.19589139998</v>
      </c>
      <c r="D9" s="22">
        <f t="shared" si="0"/>
        <v>291326.99381765007</v>
      </c>
      <c r="E9" s="22">
        <f t="shared" si="0"/>
        <v>290327.07482153003</v>
      </c>
      <c r="F9" s="22">
        <f t="shared" si="0"/>
        <v>307107.69582029997</v>
      </c>
      <c r="G9" s="22">
        <f t="shared" si="0"/>
        <v>376662.52555734001</v>
      </c>
      <c r="H9" s="22">
        <f t="shared" si="0"/>
        <v>451598.92398081993</v>
      </c>
      <c r="I9" s="22">
        <f t="shared" si="0"/>
        <v>465810.87235301</v>
      </c>
      <c r="J9" s="22">
        <f t="shared" ref="J9:O9" si="1">+J11+J34</f>
        <v>501538.24548144994</v>
      </c>
      <c r="K9" s="22">
        <f t="shared" si="1"/>
        <v>539026.52505509008</v>
      </c>
      <c r="L9" s="22">
        <f t="shared" si="1"/>
        <v>623777.20468108996</v>
      </c>
      <c r="M9" s="22">
        <f t="shared" si="1"/>
        <v>691176.49498213001</v>
      </c>
      <c r="N9" s="22">
        <f t="shared" si="1"/>
        <v>658366.31789609999</v>
      </c>
      <c r="O9" s="22">
        <f t="shared" si="1"/>
        <v>799703.58029360999</v>
      </c>
      <c r="P9" s="22">
        <f t="shared" ref="P9:V9" si="2">+P11+P34</f>
        <v>721445.43424167007</v>
      </c>
      <c r="Q9" s="22">
        <f t="shared" si="2"/>
        <v>661721.58566120011</v>
      </c>
      <c r="R9" s="22">
        <f t="shared" si="2"/>
        <v>800381.84163718007</v>
      </c>
      <c r="S9" s="22">
        <f t="shared" si="2"/>
        <v>824569.67451328016</v>
      </c>
      <c r="T9" s="22">
        <f t="shared" si="2"/>
        <v>786050.52497490996</v>
      </c>
      <c r="U9" s="22">
        <f t="shared" si="2"/>
        <v>825200.86943966988</v>
      </c>
      <c r="V9" s="22">
        <f t="shared" si="2"/>
        <v>864150.91010632005</v>
      </c>
      <c r="W9" s="61">
        <f>+D9/C9-1</f>
        <v>0.40516926833268974</v>
      </c>
      <c r="X9" s="61">
        <f t="shared" ref="X9:AL9" si="3">+E9/D9-1</f>
        <v>-3.4322909216779607E-3</v>
      </c>
      <c r="Y9" s="61">
        <f t="shared" si="3"/>
        <v>5.7799022048099724E-2</v>
      </c>
      <c r="Z9" s="61">
        <f t="shared" si="3"/>
        <v>0.22648351273404477</v>
      </c>
      <c r="AA9" s="61">
        <f t="shared" si="3"/>
        <v>0.19894837776229002</v>
      </c>
      <c r="AB9" s="61">
        <f t="shared" si="3"/>
        <v>3.147028838534971E-2</v>
      </c>
      <c r="AC9" s="61">
        <f t="shared" si="3"/>
        <v>7.6699311349186949E-2</v>
      </c>
      <c r="AD9" s="61">
        <f t="shared" si="3"/>
        <v>7.4746601902021315E-2</v>
      </c>
      <c r="AE9" s="61">
        <f t="shared" si="3"/>
        <v>0.1572291449244323</v>
      </c>
      <c r="AF9" s="61">
        <f t="shared" si="3"/>
        <v>0.10805026184869693</v>
      </c>
      <c r="AG9" s="61">
        <f>+N9/M9-1</f>
        <v>-4.7470041768243765E-2</v>
      </c>
      <c r="AH9" s="61">
        <f>+O9/N9-1</f>
        <v>0.21467875642419343</v>
      </c>
      <c r="AI9" s="61">
        <f>+P9/O9-1</f>
        <v>-9.7858941713387826E-2</v>
      </c>
      <c r="AJ9" s="61">
        <f>+Q9/P9-1</f>
        <v>-8.278359768573107E-2</v>
      </c>
      <c r="AK9" s="61">
        <f t="shared" si="3"/>
        <v>0.20954470729170627</v>
      </c>
      <c r="AL9" s="61">
        <f t="shared" si="3"/>
        <v>3.0220366852181435E-2</v>
      </c>
      <c r="AM9" s="61">
        <f>+T9/S9-1</f>
        <v>-4.6714244689033624E-2</v>
      </c>
      <c r="AN9" s="61">
        <f>+U9/T9-1</f>
        <v>4.9806396943770981E-2</v>
      </c>
      <c r="AO9" s="61">
        <f>+V9/U9-1</f>
        <v>4.7200678173179966E-2</v>
      </c>
      <c r="AR9" s="190"/>
    </row>
    <row r="10" spans="1:44">
      <c r="B10" s="4"/>
      <c r="C10" s="51"/>
      <c r="D10" s="2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</row>
    <row r="11" spans="1:44">
      <c r="B11" s="4" t="s">
        <v>30</v>
      </c>
      <c r="C11" s="21">
        <f t="shared" ref="C11:I11" si="4">+C12+C30+C31+C32</f>
        <v>207241.55731347</v>
      </c>
      <c r="D11" s="21">
        <f t="shared" si="4"/>
        <v>291286.03732083004</v>
      </c>
      <c r="E11" s="21">
        <f t="shared" si="4"/>
        <v>290159.45308953</v>
      </c>
      <c r="F11" s="21">
        <f t="shared" si="4"/>
        <v>304461.90082029998</v>
      </c>
      <c r="G11" s="21">
        <f t="shared" si="4"/>
        <v>376397.27555734001</v>
      </c>
      <c r="H11" s="21">
        <f t="shared" si="4"/>
        <v>451598.92398081993</v>
      </c>
      <c r="I11" s="21">
        <f t="shared" si="4"/>
        <v>465855.57235301001</v>
      </c>
      <c r="J11" s="21">
        <f t="shared" ref="J11:O11" si="5">+J12+J30+J31+J32</f>
        <v>500717.21348144993</v>
      </c>
      <c r="K11" s="21">
        <f t="shared" si="5"/>
        <v>537967.71154060005</v>
      </c>
      <c r="L11" s="21">
        <f t="shared" si="5"/>
        <v>624002.19702442002</v>
      </c>
      <c r="M11" s="21">
        <f t="shared" si="5"/>
        <v>688809.64465212997</v>
      </c>
      <c r="N11" s="21">
        <f t="shared" si="5"/>
        <v>658125.97874749999</v>
      </c>
      <c r="O11" s="21">
        <f t="shared" si="5"/>
        <v>769764.58029360999</v>
      </c>
      <c r="P11" s="21">
        <f t="shared" ref="P11:V11" si="6">+P12+P30+P31+P32</f>
        <v>721445.43424167007</v>
      </c>
      <c r="Q11" s="21">
        <f t="shared" si="6"/>
        <v>655113.11270020006</v>
      </c>
      <c r="R11" s="21">
        <f t="shared" si="6"/>
        <v>800381.84163718007</v>
      </c>
      <c r="S11" s="21">
        <f t="shared" si="6"/>
        <v>824569.67451328016</v>
      </c>
      <c r="T11" s="21">
        <f t="shared" si="6"/>
        <v>786050.52497490996</v>
      </c>
      <c r="U11" s="21">
        <f t="shared" si="6"/>
        <v>825200.86943966988</v>
      </c>
      <c r="V11" s="21">
        <f t="shared" si="6"/>
        <v>864150.91010632005</v>
      </c>
      <c r="W11" s="57">
        <f t="shared" ref="W11:W71" si="7">+D11/C11-1</f>
        <v>0.40553873989778899</v>
      </c>
      <c r="X11" s="57">
        <f t="shared" ref="X11:X32" si="8">+E11/D11-1</f>
        <v>-3.8676218114059857E-3</v>
      </c>
      <c r="Y11" s="57">
        <f t="shared" ref="Y11:Y32" si="9">+F11/E11-1</f>
        <v>4.9291682826397176E-2</v>
      </c>
      <c r="Z11" s="57">
        <f t="shared" ref="Z11:Z32" si="10">+G11/F11-1</f>
        <v>0.23627053021487199</v>
      </c>
      <c r="AA11" s="57">
        <f t="shared" ref="AA11:AA32" si="11">+H11/G11-1</f>
        <v>0.19979328573015609</v>
      </c>
      <c r="AB11" s="57">
        <f t="shared" ref="AB11:AB32" si="12">+I11/H11-1</f>
        <v>3.1569270020660234E-2</v>
      </c>
      <c r="AC11" s="57">
        <f t="shared" ref="AC11:AC32" si="13">+J11/I11-1</f>
        <v>7.4833581902553625E-2</v>
      </c>
      <c r="AD11" s="57">
        <f t="shared" ref="AD11:AD32" si="14">+K11/J11-1</f>
        <v>7.4394282952946922E-2</v>
      </c>
      <c r="AE11" s="57">
        <f t="shared" ref="AE11:AE32" si="15">+L11/K11-1</f>
        <v>0.15992499854208631</v>
      </c>
      <c r="AF11" s="57">
        <f t="shared" ref="AF11:AF32" si="16">+M11/L11-1</f>
        <v>0.10385772347717181</v>
      </c>
      <c r="AG11" s="57">
        <f t="shared" ref="AG11:AG32" si="17">+N11/M11-1</f>
        <v>-4.4545929550864782E-2</v>
      </c>
      <c r="AH11" s="57">
        <f t="shared" ref="AH11:AH32" si="18">+O11/N11-1</f>
        <v>0.16963105112272414</v>
      </c>
      <c r="AI11" s="57">
        <f t="shared" ref="AI11:AI32" si="19">+P11/O11-1</f>
        <v>-6.2771329428420342E-2</v>
      </c>
      <c r="AJ11" s="57">
        <f t="shared" ref="AJ11:AO32" si="20">+Q11/P11-1</f>
        <v>-9.1943643126931152E-2</v>
      </c>
      <c r="AK11" s="57">
        <f t="shared" si="20"/>
        <v>0.22174602541265176</v>
      </c>
      <c r="AL11" s="57">
        <f t="shared" si="20"/>
        <v>3.0220366852181435E-2</v>
      </c>
      <c r="AM11" s="57">
        <f t="shared" si="20"/>
        <v>-4.6714244689033624E-2</v>
      </c>
      <c r="AN11" s="57">
        <f t="shared" si="20"/>
        <v>4.9806396943770981E-2</v>
      </c>
      <c r="AO11" s="57">
        <f t="shared" si="20"/>
        <v>4.7200678173179966E-2</v>
      </c>
      <c r="AR11" s="2"/>
    </row>
    <row r="12" spans="1:44">
      <c r="B12" s="23" t="s">
        <v>29</v>
      </c>
      <c r="C12" s="51">
        <v>201017.17644737998</v>
      </c>
      <c r="D12" s="2">
        <f t="shared" ref="D12:I12" si="21">+D13+D14+D17+D21+D24+D27</f>
        <v>283988.42360460002</v>
      </c>
      <c r="E12" s="2">
        <f t="shared" si="21"/>
        <v>282833.91889749997</v>
      </c>
      <c r="F12" s="2">
        <f t="shared" si="21"/>
        <v>292274.68939752999</v>
      </c>
      <c r="G12" s="2">
        <f t="shared" si="21"/>
        <v>345501.64870184002</v>
      </c>
      <c r="H12" s="2">
        <f t="shared" si="21"/>
        <v>423773.73142515996</v>
      </c>
      <c r="I12" s="2">
        <f t="shared" si="21"/>
        <v>432250.99016173999</v>
      </c>
      <c r="J12" s="2">
        <f t="shared" ref="J12:O12" si="22">+J13+J14+J17+J21+J24+J27</f>
        <v>482442.08178967994</v>
      </c>
      <c r="K12" s="2">
        <f t="shared" si="22"/>
        <v>505452.60528814001</v>
      </c>
      <c r="L12" s="2">
        <f t="shared" si="22"/>
        <v>572813.86521610001</v>
      </c>
      <c r="M12" s="2">
        <f t="shared" si="22"/>
        <v>598180.17286169005</v>
      </c>
      <c r="N12" s="2">
        <f t="shared" si="22"/>
        <v>627474.09477011999</v>
      </c>
      <c r="O12" s="2">
        <f t="shared" si="22"/>
        <v>729898.72855663998</v>
      </c>
      <c r="P12" s="2">
        <f>+P13+P14+P17+P21+P24+P27</f>
        <v>684821.13886390009</v>
      </c>
      <c r="Q12" s="2">
        <f>+Q13+Q14+Q17+Q21+Q24+Q27</f>
        <v>624164.98367820005</v>
      </c>
      <c r="R12" s="2">
        <f>+R13+R14+R17+R21+R24+R27</f>
        <v>729636.66031604004</v>
      </c>
      <c r="S12" s="2">
        <f>+S13+S14+S17+S21+S24+S27+S28+S29</f>
        <v>746805.20319653011</v>
      </c>
      <c r="T12" s="2">
        <f>+T13+T14+T17+T21+T24+T27+T28+T29</f>
        <v>715804.60470788996</v>
      </c>
      <c r="U12" s="2">
        <f>+U13+U14+U17+U21+U24+U27+U28+U29</f>
        <v>753392.34824396996</v>
      </c>
      <c r="V12" s="2">
        <f>+V13+V14+V17+V21+V24+V27+V28+V29</f>
        <v>775210.03845416009</v>
      </c>
      <c r="W12" s="58">
        <f t="shared" si="7"/>
        <v>0.41275700228004797</v>
      </c>
      <c r="X12" s="58">
        <f t="shared" si="8"/>
        <v>-4.0653231298873882E-3</v>
      </c>
      <c r="Y12" s="58">
        <f t="shared" si="9"/>
        <v>3.3379201960042737E-2</v>
      </c>
      <c r="Z12" s="58">
        <f t="shared" si="10"/>
        <v>0.18211279058760632</v>
      </c>
      <c r="AA12" s="58">
        <f t="shared" si="11"/>
        <v>0.22654619165324719</v>
      </c>
      <c r="AB12" s="58">
        <f t="shared" si="12"/>
        <v>2.0004210048770288E-2</v>
      </c>
      <c r="AC12" s="58">
        <f t="shared" si="13"/>
        <v>0.11611561979108354</v>
      </c>
      <c r="AD12" s="58">
        <f t="shared" si="14"/>
        <v>4.7695929453541064E-2</v>
      </c>
      <c r="AE12" s="58">
        <f t="shared" si="15"/>
        <v>0.13326919126187864</v>
      </c>
      <c r="AF12" s="58">
        <f t="shared" si="16"/>
        <v>4.4283683035535981E-2</v>
      </c>
      <c r="AG12" s="58">
        <f t="shared" si="17"/>
        <v>4.8971736673062871E-2</v>
      </c>
      <c r="AH12" s="58">
        <f t="shared" si="18"/>
        <v>0.16323324682279372</v>
      </c>
      <c r="AI12" s="58">
        <f t="shared" si="19"/>
        <v>-6.1758690526670601E-2</v>
      </c>
      <c r="AJ12" s="58">
        <f t="shared" si="20"/>
        <v>-8.8572258862112507E-2</v>
      </c>
      <c r="AK12" s="58">
        <f t="shared" si="20"/>
        <v>0.16898044490784492</v>
      </c>
      <c r="AL12" s="58">
        <f t="shared" si="20"/>
        <v>2.3530263505473492E-2</v>
      </c>
      <c r="AM12" s="58">
        <f t="shared" si="20"/>
        <v>-4.1510956747421113E-2</v>
      </c>
      <c r="AN12" s="58">
        <f t="shared" si="20"/>
        <v>5.2511178733502417E-2</v>
      </c>
      <c r="AO12" s="58">
        <f t="shared" si="20"/>
        <v>2.8959267055264748E-2</v>
      </c>
      <c r="AR12" s="2"/>
    </row>
    <row r="13" spans="1:44">
      <c r="B13" s="24" t="s">
        <v>22</v>
      </c>
      <c r="C13" s="51">
        <v>82925.510956069993</v>
      </c>
      <c r="D13" s="2">
        <v>114933.72824491002</v>
      </c>
      <c r="E13" s="2">
        <v>119244.83139056001</v>
      </c>
      <c r="F13" s="34">
        <v>116568.82533095</v>
      </c>
      <c r="G13" s="34">
        <v>140043.93871648001</v>
      </c>
      <c r="H13" s="34">
        <v>186258.96757151998</v>
      </c>
      <c r="I13" s="34">
        <f>174942.51784958</f>
        <v>174942.51784958001</v>
      </c>
      <c r="J13" s="45">
        <v>187367.59298722999</v>
      </c>
      <c r="K13" s="45">
        <v>204505.98985546999</v>
      </c>
      <c r="L13" s="45">
        <v>220524.94639710002</v>
      </c>
      <c r="M13" s="45">
        <v>262366.75026181998</v>
      </c>
      <c r="N13" s="45">
        <v>274958.62566717999</v>
      </c>
      <c r="O13" s="45">
        <v>347493.11421600002</v>
      </c>
      <c r="P13" s="45">
        <v>292659.36583434005</v>
      </c>
      <c r="Q13" s="51">
        <v>221140.96147429998</v>
      </c>
      <c r="R13" s="45">
        <v>265213.34534026001</v>
      </c>
      <c r="S13" s="45">
        <v>293677.12479114003</v>
      </c>
      <c r="T13" s="45">
        <v>315016.16981980001</v>
      </c>
      <c r="U13" s="45">
        <v>324350.53224772995</v>
      </c>
      <c r="V13" s="45">
        <v>320288.71161755</v>
      </c>
      <c r="W13" s="58">
        <f t="shared" si="7"/>
        <v>0.38598757993540089</v>
      </c>
      <c r="X13" s="58">
        <f t="shared" si="8"/>
        <v>3.7509469252259509E-2</v>
      </c>
      <c r="Y13" s="58">
        <f t="shared" si="9"/>
        <v>-2.2441275050700926E-2</v>
      </c>
      <c r="Z13" s="58">
        <f t="shared" si="10"/>
        <v>0.20138414639490398</v>
      </c>
      <c r="AA13" s="58">
        <f t="shared" si="11"/>
        <v>0.33000377794716718</v>
      </c>
      <c r="AB13" s="58">
        <f t="shared" si="12"/>
        <v>-6.0756536286472596E-2</v>
      </c>
      <c r="AC13" s="58">
        <f t="shared" si="13"/>
        <v>7.102375849153697E-2</v>
      </c>
      <c r="AD13" s="58">
        <f t="shared" si="14"/>
        <v>9.1469376293946691E-2</v>
      </c>
      <c r="AE13" s="58">
        <f t="shared" si="15"/>
        <v>7.8330011521672738E-2</v>
      </c>
      <c r="AF13" s="58">
        <f t="shared" si="16"/>
        <v>0.18973728164692649</v>
      </c>
      <c r="AG13" s="58">
        <f t="shared" si="17"/>
        <v>4.7993411485237392E-2</v>
      </c>
      <c r="AH13" s="58">
        <f t="shared" si="18"/>
        <v>0.26380146603081456</v>
      </c>
      <c r="AI13" s="58">
        <f t="shared" si="19"/>
        <v>-0.15779808617322866</v>
      </c>
      <c r="AJ13" s="58">
        <f t="shared" si="20"/>
        <v>-0.24437422037100665</v>
      </c>
      <c r="AK13" s="58">
        <f t="shared" si="20"/>
        <v>0.1992954338813524</v>
      </c>
      <c r="AL13" s="58">
        <f t="shared" si="20"/>
        <v>0.10732408436823548</v>
      </c>
      <c r="AM13" s="58">
        <f t="shared" si="20"/>
        <v>7.2661583852797751E-2</v>
      </c>
      <c r="AN13" s="58">
        <f t="shared" si="20"/>
        <v>2.9631375536276483E-2</v>
      </c>
      <c r="AO13" s="58">
        <f t="shared" si="20"/>
        <v>-1.2522934992681423E-2</v>
      </c>
      <c r="AR13" s="2"/>
    </row>
    <row r="14" spans="1:44">
      <c r="B14" s="24" t="s">
        <v>23</v>
      </c>
      <c r="C14" s="51">
        <v>10990.730656420001</v>
      </c>
      <c r="D14" s="35">
        <f t="shared" ref="D14:O14" si="23">+D15+D16</f>
        <v>13188.100299109999</v>
      </c>
      <c r="E14" s="35">
        <f t="shared" si="23"/>
        <v>13612.575748359999</v>
      </c>
      <c r="F14" s="35">
        <f t="shared" si="23"/>
        <v>10846.376032970002</v>
      </c>
      <c r="G14" s="35">
        <f t="shared" si="23"/>
        <v>12780.320784630001</v>
      </c>
      <c r="H14" s="35">
        <f t="shared" si="23"/>
        <v>12845.349728089999</v>
      </c>
      <c r="I14" s="35">
        <f t="shared" si="23"/>
        <v>13458.11643251</v>
      </c>
      <c r="J14" s="35">
        <f t="shared" si="23"/>
        <v>14613.497240649998</v>
      </c>
      <c r="K14" s="35">
        <f t="shared" si="23"/>
        <v>15103.4491702</v>
      </c>
      <c r="L14" s="35">
        <f t="shared" si="23"/>
        <v>17011.016451709998</v>
      </c>
      <c r="M14" s="35">
        <f t="shared" si="23"/>
        <v>17421.375727210001</v>
      </c>
      <c r="N14" s="35">
        <f t="shared" si="23"/>
        <v>15464.70784909</v>
      </c>
      <c r="O14" s="35">
        <f t="shared" si="23"/>
        <v>15845.298238900001</v>
      </c>
      <c r="P14" s="35">
        <f t="shared" ref="P14:V14" si="24">+P15+P16</f>
        <v>13240.90314606</v>
      </c>
      <c r="Q14" s="35">
        <f t="shared" si="24"/>
        <v>19632.044389340001</v>
      </c>
      <c r="R14" s="2">
        <f t="shared" si="24"/>
        <v>18766.08949975</v>
      </c>
      <c r="S14" s="2">
        <f t="shared" si="24"/>
        <v>16677.003569559998</v>
      </c>
      <c r="T14" s="2">
        <f t="shared" si="24"/>
        <v>15188.99434462</v>
      </c>
      <c r="U14" s="2">
        <f t="shared" si="24"/>
        <v>17795.964621359999</v>
      </c>
      <c r="V14" s="2">
        <f t="shared" si="24"/>
        <v>17601.528414749999</v>
      </c>
      <c r="W14" s="58">
        <f t="shared" si="7"/>
        <v>0.19992935059385264</v>
      </c>
      <c r="X14" s="58">
        <f t="shared" si="8"/>
        <v>3.2186246663489904E-2</v>
      </c>
      <c r="Y14" s="58">
        <f t="shared" si="9"/>
        <v>-0.20320913297567955</v>
      </c>
      <c r="Z14" s="58">
        <f t="shared" si="10"/>
        <v>0.17830331032054758</v>
      </c>
      <c r="AA14" s="58">
        <f t="shared" si="11"/>
        <v>5.0882090172732486E-3</v>
      </c>
      <c r="AB14" s="58">
        <f t="shared" si="12"/>
        <v>4.7703388182574136E-2</v>
      </c>
      <c r="AC14" s="58">
        <f t="shared" si="13"/>
        <v>8.5850112378951682E-2</v>
      </c>
      <c r="AD14" s="58">
        <f t="shared" si="14"/>
        <v>3.3527356352941684E-2</v>
      </c>
      <c r="AE14" s="58">
        <f t="shared" si="15"/>
        <v>0.12630010933355162</v>
      </c>
      <c r="AF14" s="58">
        <f t="shared" si="16"/>
        <v>2.4123148470575506E-2</v>
      </c>
      <c r="AG14" s="58">
        <f t="shared" si="17"/>
        <v>-0.11231420002405046</v>
      </c>
      <c r="AH14" s="58">
        <f t="shared" si="18"/>
        <v>2.4610254103985207E-2</v>
      </c>
      <c r="AI14" s="58">
        <f t="shared" si="19"/>
        <v>-0.16436390489932495</v>
      </c>
      <c r="AJ14" s="58">
        <f t="shared" si="20"/>
        <v>0.48268167003258888</v>
      </c>
      <c r="AK14" s="58">
        <f t="shared" si="20"/>
        <v>-4.4109256907559069E-2</v>
      </c>
      <c r="AL14" s="58">
        <f t="shared" si="20"/>
        <v>-0.11132238979345332</v>
      </c>
      <c r="AM14" s="58">
        <f t="shared" si="20"/>
        <v>-8.9225214753567261E-2</v>
      </c>
      <c r="AN14" s="58">
        <f t="shared" si="20"/>
        <v>0.17163547616063202</v>
      </c>
      <c r="AO14" s="58">
        <f t="shared" si="20"/>
        <v>-1.0925859358959622E-2</v>
      </c>
      <c r="AR14" s="2"/>
    </row>
    <row r="15" spans="1:44">
      <c r="B15" s="25" t="s">
        <v>34</v>
      </c>
      <c r="C15" s="51">
        <v>8874.9734803600004</v>
      </c>
      <c r="D15" s="2">
        <v>10881.97956473</v>
      </c>
      <c r="E15" s="2">
        <v>11237.58740816</v>
      </c>
      <c r="F15" s="35">
        <v>8896.5371835300011</v>
      </c>
      <c r="G15" s="35">
        <v>10893.206792180001</v>
      </c>
      <c r="H15" s="35">
        <v>10876.13364355</v>
      </c>
      <c r="I15" s="35">
        <v>11302.873375069999</v>
      </c>
      <c r="J15" s="45">
        <v>12349.119826139999</v>
      </c>
      <c r="K15" s="45">
        <v>12846.20039878</v>
      </c>
      <c r="L15" s="45">
        <v>14746.266114889999</v>
      </c>
      <c r="M15" s="45">
        <v>15041.67070269</v>
      </c>
      <c r="N15" s="45">
        <v>13380.37789181</v>
      </c>
      <c r="O15" s="45">
        <v>13713.51872969</v>
      </c>
      <c r="P15" s="45">
        <v>11509.56865886</v>
      </c>
      <c r="Q15" s="45">
        <v>17068.26817435</v>
      </c>
      <c r="R15" s="2">
        <v>15657.597186139999</v>
      </c>
      <c r="S15" s="2">
        <v>13690.57969986</v>
      </c>
      <c r="T15" s="2">
        <v>12552.31119567</v>
      </c>
      <c r="U15" s="2">
        <v>14840.847766219998</v>
      </c>
      <c r="V15" s="2">
        <v>14513.05101456</v>
      </c>
      <c r="W15" s="58">
        <f t="shared" si="7"/>
        <v>0.22614220637520011</v>
      </c>
      <c r="X15" s="58">
        <f t="shared" si="8"/>
        <v>3.2678598715859986E-2</v>
      </c>
      <c r="Y15" s="58">
        <f t="shared" si="9"/>
        <v>-0.20832320493721646</v>
      </c>
      <c r="Z15" s="58">
        <f t="shared" si="10"/>
        <v>0.22443222204999014</v>
      </c>
      <c r="AA15" s="58">
        <f t="shared" si="11"/>
        <v>-1.5673207124147215E-3</v>
      </c>
      <c r="AB15" s="58">
        <f t="shared" si="12"/>
        <v>3.9236344964653336E-2</v>
      </c>
      <c r="AC15" s="58">
        <f t="shared" si="13"/>
        <v>9.2564644082241632E-2</v>
      </c>
      <c r="AD15" s="58">
        <f t="shared" si="14"/>
        <v>4.0252307827461919E-2</v>
      </c>
      <c r="AE15" s="58">
        <f t="shared" si="15"/>
        <v>0.14790877124184121</v>
      </c>
      <c r="AF15" s="58">
        <f t="shared" si="16"/>
        <v>2.0032500803828457E-2</v>
      </c>
      <c r="AG15" s="58">
        <f t="shared" si="17"/>
        <v>-0.11044602981388896</v>
      </c>
      <c r="AH15" s="58">
        <f t="shared" si="18"/>
        <v>2.4897715189637015E-2</v>
      </c>
      <c r="AI15" s="58">
        <f t="shared" si="19"/>
        <v>-0.16071368073158432</v>
      </c>
      <c r="AJ15" s="58">
        <f t="shared" si="20"/>
        <v>0.48296332210598902</v>
      </c>
      <c r="AK15" s="58">
        <f t="shared" si="20"/>
        <v>-8.2648747594084582E-2</v>
      </c>
      <c r="AL15" s="58">
        <f t="shared" si="20"/>
        <v>-0.12562703350301985</v>
      </c>
      <c r="AM15" s="58">
        <f t="shared" si="20"/>
        <v>-8.3142462126833072E-2</v>
      </c>
      <c r="AN15" s="58">
        <f t="shared" si="20"/>
        <v>0.18231993573736793</v>
      </c>
      <c r="AO15" s="58">
        <f t="shared" si="20"/>
        <v>-2.2087468103143881E-2</v>
      </c>
      <c r="AR15" s="2"/>
    </row>
    <row r="16" spans="1:44">
      <c r="B16" s="25" t="s">
        <v>35</v>
      </c>
      <c r="C16" s="51">
        <v>2115.7571760599999</v>
      </c>
      <c r="D16" s="2">
        <v>2306.1207343800002</v>
      </c>
      <c r="E16" s="2">
        <v>2374.9883401999996</v>
      </c>
      <c r="F16" s="35">
        <v>1949.8388494400001</v>
      </c>
      <c r="G16" s="35">
        <v>1887.1139924500001</v>
      </c>
      <c r="H16" s="35">
        <v>1969.2160845399999</v>
      </c>
      <c r="I16" s="35">
        <v>2155.24305744</v>
      </c>
      <c r="J16" s="45">
        <v>2264.3774145100001</v>
      </c>
      <c r="K16" s="45">
        <v>2257.2487714200001</v>
      </c>
      <c r="L16" s="45">
        <v>2264.75033682</v>
      </c>
      <c r="M16" s="45">
        <v>2379.7050245199998</v>
      </c>
      <c r="N16" s="45">
        <v>2084.3299572800001</v>
      </c>
      <c r="O16" s="45">
        <v>2131.77950921</v>
      </c>
      <c r="P16" s="45">
        <v>1731.3344872</v>
      </c>
      <c r="Q16" s="45">
        <v>2563.77621499</v>
      </c>
      <c r="R16" s="2">
        <v>3108.4923136100001</v>
      </c>
      <c r="S16" s="2">
        <v>2986.4238696999996</v>
      </c>
      <c r="T16" s="2">
        <v>2636.68314895</v>
      </c>
      <c r="U16" s="2">
        <v>2955.1168551399996</v>
      </c>
      <c r="V16" s="2">
        <v>3088.47740019</v>
      </c>
      <c r="W16" s="58">
        <f t="shared" si="7"/>
        <v>8.997419953196073E-2</v>
      </c>
      <c r="X16" s="58">
        <f t="shared" si="8"/>
        <v>2.9862966319720741E-2</v>
      </c>
      <c r="Y16" s="58">
        <f t="shared" si="9"/>
        <v>-0.1790111907346027</v>
      </c>
      <c r="Z16" s="58">
        <f t="shared" si="10"/>
        <v>-3.2169251837409485E-2</v>
      </c>
      <c r="AA16" s="58">
        <f t="shared" si="11"/>
        <v>4.3506694570903059E-2</v>
      </c>
      <c r="AB16" s="58">
        <f t="shared" si="12"/>
        <v>9.4467526626695886E-2</v>
      </c>
      <c r="AC16" s="58">
        <f t="shared" si="13"/>
        <v>5.0636681878298173E-2</v>
      </c>
      <c r="AD16" s="58">
        <f t="shared" si="14"/>
        <v>-3.1481691366112008E-3</v>
      </c>
      <c r="AE16" s="58">
        <f t="shared" si="15"/>
        <v>3.3233223980362325E-3</v>
      </c>
      <c r="AF16" s="58">
        <f t="shared" si="16"/>
        <v>5.0758216405173862E-2</v>
      </c>
      <c r="AG16" s="58">
        <f t="shared" si="17"/>
        <v>-0.1241225547689796</v>
      </c>
      <c r="AH16" s="58">
        <f t="shared" si="18"/>
        <v>2.2764894667598679E-2</v>
      </c>
      <c r="AI16" s="58">
        <f t="shared" si="19"/>
        <v>-0.187845422230556</v>
      </c>
      <c r="AJ16" s="58">
        <f t="shared" si="20"/>
        <v>0.48080930284954126</v>
      </c>
      <c r="AK16" s="58">
        <f t="shared" si="20"/>
        <v>0.21246632035788848</v>
      </c>
      <c r="AL16" s="58">
        <f t="shared" si="20"/>
        <v>-3.9269340759037652E-2</v>
      </c>
      <c r="AM16" s="58">
        <f t="shared" si="20"/>
        <v>-0.11711020806471539</v>
      </c>
      <c r="AN16" s="58">
        <f t="shared" si="20"/>
        <v>0.12077056218029414</v>
      </c>
      <c r="AO16" s="58">
        <f t="shared" si="20"/>
        <v>4.5128687489308206E-2</v>
      </c>
      <c r="AR16" s="2"/>
    </row>
    <row r="17" spans="2:44">
      <c r="B17" s="24" t="s">
        <v>24</v>
      </c>
      <c r="C17" s="51">
        <v>56.602595880000003</v>
      </c>
      <c r="D17" s="35">
        <f t="shared" ref="D17:I17" si="25">+D18+D19</f>
        <v>-903.84919373000014</v>
      </c>
      <c r="E17" s="35">
        <f t="shared" si="25"/>
        <v>161.80977331000003</v>
      </c>
      <c r="F17" s="35">
        <f t="shared" si="25"/>
        <v>603.13403237999989</v>
      </c>
      <c r="G17" s="35">
        <f t="shared" si="25"/>
        <v>276.57534471000002</v>
      </c>
      <c r="H17" s="35">
        <f t="shared" si="25"/>
        <v>331.07342203000002</v>
      </c>
      <c r="I17" s="35">
        <f t="shared" si="25"/>
        <v>251.63769837999999</v>
      </c>
      <c r="J17" s="35">
        <f t="shared" ref="J17:O17" si="26">+J18+J19+J20</f>
        <v>389.33613580000002</v>
      </c>
      <c r="K17" s="35">
        <f t="shared" si="26"/>
        <v>364.19590958000003</v>
      </c>
      <c r="L17" s="35">
        <f t="shared" si="26"/>
        <v>368.80886529999998</v>
      </c>
      <c r="M17" s="35">
        <f t="shared" si="26"/>
        <v>435.58439243000004</v>
      </c>
      <c r="N17" s="35">
        <f t="shared" si="26"/>
        <v>413.29036702999997</v>
      </c>
      <c r="O17" s="35">
        <f t="shared" si="26"/>
        <v>419.60743012</v>
      </c>
      <c r="P17" s="35">
        <f t="shared" ref="P17:V17" si="27">+P18+P19+P20</f>
        <v>377.68857751000002</v>
      </c>
      <c r="Q17" s="35">
        <f t="shared" si="27"/>
        <v>511.39554042999998</v>
      </c>
      <c r="R17" s="2">
        <f t="shared" si="27"/>
        <v>477.29599395999998</v>
      </c>
      <c r="S17" s="2">
        <f t="shared" si="27"/>
        <v>461.47463221999999</v>
      </c>
      <c r="T17" s="2">
        <f t="shared" si="27"/>
        <v>409.09178485999996</v>
      </c>
      <c r="U17" s="2">
        <f t="shared" si="27"/>
        <v>376.60117502999998</v>
      </c>
      <c r="V17" s="2">
        <f t="shared" si="27"/>
        <v>358.86294892000001</v>
      </c>
      <c r="W17" s="58">
        <f t="shared" si="7"/>
        <v>-16.968334661650506</v>
      </c>
      <c r="X17" s="58">
        <f t="shared" si="8"/>
        <v>-1.1790229768776408</v>
      </c>
      <c r="Y17" s="58">
        <f t="shared" si="9"/>
        <v>2.7274264714807899</v>
      </c>
      <c r="Z17" s="58">
        <f t="shared" si="10"/>
        <v>-0.5414363477076255</v>
      </c>
      <c r="AA17" s="58">
        <f t="shared" si="11"/>
        <v>0.19704604319355856</v>
      </c>
      <c r="AB17" s="58">
        <f t="shared" si="12"/>
        <v>-0.23993385866776706</v>
      </c>
      <c r="AC17" s="58">
        <f t="shared" si="13"/>
        <v>0.54720909588062039</v>
      </c>
      <c r="AD17" s="58">
        <f t="shared" si="14"/>
        <v>-6.4572034055719874E-2</v>
      </c>
      <c r="AE17" s="58">
        <f t="shared" si="15"/>
        <v>1.2666138192819698E-2</v>
      </c>
      <c r="AF17" s="58">
        <f t="shared" si="16"/>
        <v>0.18105727224231138</v>
      </c>
      <c r="AG17" s="58">
        <f t="shared" si="17"/>
        <v>-5.1181873794026722E-2</v>
      </c>
      <c r="AH17" s="58">
        <f t="shared" si="18"/>
        <v>1.5284806020028796E-2</v>
      </c>
      <c r="AI17" s="58">
        <f t="shared" si="19"/>
        <v>-9.9900167635286974E-2</v>
      </c>
      <c r="AJ17" s="58">
        <f t="shared" si="20"/>
        <v>0.3540137851176075</v>
      </c>
      <c r="AK17" s="58">
        <f t="shared" si="20"/>
        <v>-6.6679397402112373E-2</v>
      </c>
      <c r="AL17" s="58">
        <f t="shared" si="20"/>
        <v>-3.3147903900751952E-2</v>
      </c>
      <c r="AM17" s="58">
        <f t="shared" si="20"/>
        <v>-0.11351186761448551</v>
      </c>
      <c r="AN17" s="58">
        <f t="shared" si="20"/>
        <v>-7.9421320672863116E-2</v>
      </c>
      <c r="AO17" s="58">
        <f t="shared" si="20"/>
        <v>-4.7100825186185191E-2</v>
      </c>
      <c r="AR17" s="2"/>
    </row>
    <row r="18" spans="2:44">
      <c r="B18" s="25" t="s">
        <v>36</v>
      </c>
      <c r="C18" s="51">
        <v>56.602595880000003</v>
      </c>
      <c r="D18" s="2">
        <v>12.321677409999999</v>
      </c>
      <c r="E18" s="2">
        <v>15.48781896</v>
      </c>
      <c r="F18" s="35">
        <v>11.7878715</v>
      </c>
      <c r="G18" s="35">
        <v>11.276697</v>
      </c>
      <c r="H18" s="35">
        <v>13.493230029999999</v>
      </c>
      <c r="I18" s="35">
        <v>10.5875295</v>
      </c>
      <c r="J18" s="45">
        <v>18.273318839999998</v>
      </c>
      <c r="K18" s="45">
        <v>13.213822499999999</v>
      </c>
      <c r="L18" s="45">
        <v>13.4438175</v>
      </c>
      <c r="M18" s="45">
        <v>16.131755999999999</v>
      </c>
      <c r="N18" s="45">
        <v>14.0115435</v>
      </c>
      <c r="O18" s="45">
        <v>14.0609535</v>
      </c>
      <c r="P18" s="45">
        <v>13.162115999999999</v>
      </c>
      <c r="Q18" s="45">
        <v>17.615805000000002</v>
      </c>
      <c r="R18" s="2">
        <v>14.783326499999999</v>
      </c>
      <c r="S18" s="2">
        <v>15.5387805</v>
      </c>
      <c r="T18" s="2">
        <v>16.048254</v>
      </c>
      <c r="U18" s="2">
        <v>14.547921000000001</v>
      </c>
      <c r="V18" s="2">
        <v>12.96936</v>
      </c>
      <c r="W18" s="58">
        <f t="shared" si="7"/>
        <v>-0.7823125031911522</v>
      </c>
      <c r="X18" s="58">
        <f t="shared" si="8"/>
        <v>0.25695702335385207</v>
      </c>
      <c r="Y18" s="58">
        <f t="shared" si="9"/>
        <v>-0.23889402823959671</v>
      </c>
      <c r="Z18" s="58">
        <f t="shared" si="10"/>
        <v>-4.3364444547940639E-2</v>
      </c>
      <c r="AA18" s="58">
        <f t="shared" si="11"/>
        <v>0.19655871129640179</v>
      </c>
      <c r="AB18" s="58">
        <f t="shared" si="12"/>
        <v>-0.21534506738117165</v>
      </c>
      <c r="AC18" s="58">
        <f t="shared" si="13"/>
        <v>0.7259284935168302</v>
      </c>
      <c r="AD18" s="58">
        <f t="shared" si="14"/>
        <v>-0.27687889563470236</v>
      </c>
      <c r="AE18" s="58">
        <f t="shared" si="15"/>
        <v>1.7405637165173182E-2</v>
      </c>
      <c r="AF18" s="58">
        <f t="shared" si="16"/>
        <v>0.19993863350197949</v>
      </c>
      <c r="AG18" s="58">
        <f t="shared" si="17"/>
        <v>-0.13143097998754749</v>
      </c>
      <c r="AH18" s="58">
        <f t="shared" si="18"/>
        <v>3.5263780896086505E-3</v>
      </c>
      <c r="AI18" s="58">
        <f t="shared" si="19"/>
        <v>-6.3924363308647703E-2</v>
      </c>
      <c r="AJ18" s="58">
        <f t="shared" si="20"/>
        <v>0.33837180890975294</v>
      </c>
      <c r="AK18" s="58">
        <f t="shared" si="20"/>
        <v>-0.16079188546875955</v>
      </c>
      <c r="AL18" s="58">
        <f t="shared" si="20"/>
        <v>5.1101759810283642E-2</v>
      </c>
      <c r="AM18" s="58">
        <f t="shared" si="20"/>
        <v>3.2787225484007587E-2</v>
      </c>
      <c r="AN18" s="58">
        <f t="shared" si="20"/>
        <v>-9.3488861778982302E-2</v>
      </c>
      <c r="AO18" s="58">
        <f t="shared" si="20"/>
        <v>-0.10850766924016153</v>
      </c>
      <c r="AR18" s="2"/>
    </row>
    <row r="19" spans="2:44">
      <c r="B19" s="25" t="s">
        <v>37</v>
      </c>
      <c r="C19" s="51">
        <v>0</v>
      </c>
      <c r="D19" s="2">
        <v>-916.17087114000014</v>
      </c>
      <c r="E19" s="2">
        <v>146.32195435000003</v>
      </c>
      <c r="F19" s="35">
        <v>591.34616087999984</v>
      </c>
      <c r="G19" s="35">
        <v>265.29864771000001</v>
      </c>
      <c r="H19" s="35">
        <v>317.58019200000001</v>
      </c>
      <c r="I19" s="35">
        <v>241.05016888</v>
      </c>
      <c r="J19" s="45">
        <v>263.98341571000003</v>
      </c>
      <c r="K19" s="45">
        <v>230.74925533000001</v>
      </c>
      <c r="L19" s="45">
        <v>231.86527755</v>
      </c>
      <c r="M19" s="45">
        <v>291.56784593000003</v>
      </c>
      <c r="N19" s="45">
        <v>269.23552102999997</v>
      </c>
      <c r="O19" s="45">
        <v>275.63842500999999</v>
      </c>
      <c r="P19" s="45">
        <v>244.72154950999999</v>
      </c>
      <c r="Q19" s="45">
        <v>350.37849742999998</v>
      </c>
      <c r="R19" s="2">
        <v>302.30028845999999</v>
      </c>
      <c r="S19" s="2">
        <v>304.75351372</v>
      </c>
      <c r="T19" s="2">
        <v>274.88551186000001</v>
      </c>
      <c r="U19" s="2">
        <v>242.30519477999999</v>
      </c>
      <c r="V19" s="2">
        <v>210.81503441999999</v>
      </c>
      <c r="W19" s="119" t="e">
        <f t="shared" si="7"/>
        <v>#DIV/0!</v>
      </c>
      <c r="X19" s="58">
        <f t="shared" si="8"/>
        <v>-1.1597103323836635</v>
      </c>
      <c r="Y19" s="58">
        <f t="shared" si="9"/>
        <v>3.0414042001209758</v>
      </c>
      <c r="Z19" s="58">
        <f t="shared" si="10"/>
        <v>-0.55136489376171616</v>
      </c>
      <c r="AA19" s="58">
        <f t="shared" si="11"/>
        <v>0.19706675756278025</v>
      </c>
      <c r="AB19" s="58">
        <f t="shared" si="12"/>
        <v>-0.24097857816018953</v>
      </c>
      <c r="AC19" s="58">
        <f t="shared" si="13"/>
        <v>9.5138895511069688E-2</v>
      </c>
      <c r="AD19" s="58">
        <f t="shared" si="14"/>
        <v>-0.12589487976210423</v>
      </c>
      <c r="AE19" s="58">
        <f t="shared" si="15"/>
        <v>4.836514936544134E-3</v>
      </c>
      <c r="AF19" s="58">
        <f t="shared" si="16"/>
        <v>0.25748818025211051</v>
      </c>
      <c r="AG19" s="58">
        <f t="shared" si="17"/>
        <v>-7.6593922175360984E-2</v>
      </c>
      <c r="AH19" s="58">
        <f t="shared" si="18"/>
        <v>2.378179504511424E-2</v>
      </c>
      <c r="AI19" s="58">
        <f t="shared" si="19"/>
        <v>-0.11216460658153293</v>
      </c>
      <c r="AJ19" s="58">
        <f t="shared" si="20"/>
        <v>0.43174353926556264</v>
      </c>
      <c r="AK19" s="58">
        <f t="shared" si="20"/>
        <v>-0.13721792097017949</v>
      </c>
      <c r="AL19" s="58">
        <f t="shared" si="20"/>
        <v>8.1151932487308898E-3</v>
      </c>
      <c r="AM19" s="58">
        <f t="shared" si="20"/>
        <v>-9.8007079542459241E-2</v>
      </c>
      <c r="AN19" s="58">
        <f t="shared" si="20"/>
        <v>-0.11852322393983883</v>
      </c>
      <c r="AO19" s="58">
        <f t="shared" si="20"/>
        <v>-0.12996073150058285</v>
      </c>
      <c r="AR19" s="2"/>
    </row>
    <row r="20" spans="2:44">
      <c r="B20" s="25" t="s">
        <v>48</v>
      </c>
      <c r="C20" s="51"/>
      <c r="D20" s="2"/>
      <c r="E20" s="2"/>
      <c r="F20" s="35"/>
      <c r="G20" s="35"/>
      <c r="H20" s="35"/>
      <c r="I20" s="35"/>
      <c r="J20" s="45">
        <v>107.07940125</v>
      </c>
      <c r="K20" s="45">
        <v>120.23283175</v>
      </c>
      <c r="L20" s="45">
        <v>123.49977025</v>
      </c>
      <c r="M20" s="45">
        <v>127.88479049999999</v>
      </c>
      <c r="N20" s="45">
        <v>130.04330250000001</v>
      </c>
      <c r="O20" s="45">
        <v>129.90805161</v>
      </c>
      <c r="P20" s="45">
        <v>119.804912</v>
      </c>
      <c r="Q20" s="45">
        <v>143.40123800000001</v>
      </c>
      <c r="R20" s="2">
        <v>160.212379</v>
      </c>
      <c r="S20" s="2">
        <v>141.18233799999999</v>
      </c>
      <c r="T20" s="2">
        <v>118.158019</v>
      </c>
      <c r="U20" s="2">
        <v>119.74805925</v>
      </c>
      <c r="V20" s="2">
        <v>135.0785545</v>
      </c>
      <c r="W20" s="119" t="e">
        <f t="shared" si="7"/>
        <v>#DIV/0!</v>
      </c>
      <c r="X20" s="119" t="e">
        <f t="shared" si="8"/>
        <v>#DIV/0!</v>
      </c>
      <c r="Y20" s="119" t="e">
        <f t="shared" si="9"/>
        <v>#DIV/0!</v>
      </c>
      <c r="Z20" s="119" t="e">
        <f t="shared" si="10"/>
        <v>#DIV/0!</v>
      </c>
      <c r="AA20" s="119" t="e">
        <f t="shared" si="11"/>
        <v>#DIV/0!</v>
      </c>
      <c r="AB20" s="119" t="e">
        <f t="shared" si="12"/>
        <v>#DIV/0!</v>
      </c>
      <c r="AC20" s="119" t="e">
        <f t="shared" si="13"/>
        <v>#DIV/0!</v>
      </c>
      <c r="AD20" s="58">
        <f t="shared" si="14"/>
        <v>0.12283810281391538</v>
      </c>
      <c r="AE20" s="58">
        <f t="shared" si="15"/>
        <v>2.7171767082662779E-2</v>
      </c>
      <c r="AF20" s="58">
        <f t="shared" si="16"/>
        <v>3.5506302895328634E-2</v>
      </c>
      <c r="AG20" s="58">
        <f t="shared" si="17"/>
        <v>1.6878566962972963E-2</v>
      </c>
      <c r="AH20" s="58">
        <f t="shared" si="18"/>
        <v>-1.0400450265403149E-3</v>
      </c>
      <c r="AI20" s="58">
        <f t="shared" si="19"/>
        <v>-7.7771465931387174E-2</v>
      </c>
      <c r="AJ20" s="58">
        <f t="shared" si="20"/>
        <v>0.19695624833813152</v>
      </c>
      <c r="AK20" s="58">
        <f t="shared" si="20"/>
        <v>0.11723149140455802</v>
      </c>
      <c r="AL20" s="58">
        <f t="shared" si="20"/>
        <v>-0.11878009126872779</v>
      </c>
      <c r="AM20" s="58">
        <f t="shared" si="20"/>
        <v>-0.16308214842000979</v>
      </c>
      <c r="AN20" s="58">
        <f t="shared" si="20"/>
        <v>1.3456896649562067E-2</v>
      </c>
      <c r="AO20" s="58">
        <f t="shared" si="20"/>
        <v>0.12802291198719362</v>
      </c>
      <c r="AR20" s="2"/>
    </row>
    <row r="21" spans="2:44">
      <c r="B21" s="24" t="s">
        <v>25</v>
      </c>
      <c r="C21" s="51">
        <v>53517.170489879994</v>
      </c>
      <c r="D21" s="35">
        <f t="shared" ref="D21:O21" si="28">+D22+D23</f>
        <v>87746.528650510008</v>
      </c>
      <c r="E21" s="35">
        <f t="shared" si="28"/>
        <v>71790.009725030002</v>
      </c>
      <c r="F21" s="35">
        <f t="shared" si="28"/>
        <v>75207.720812679996</v>
      </c>
      <c r="G21" s="35">
        <f t="shared" si="28"/>
        <v>82397.918516110003</v>
      </c>
      <c r="H21" s="35">
        <f t="shared" si="28"/>
        <v>94301.256541220006</v>
      </c>
      <c r="I21" s="35">
        <f t="shared" si="28"/>
        <v>98252.501617789996</v>
      </c>
      <c r="J21" s="35">
        <f t="shared" si="28"/>
        <v>113564.75050735999</v>
      </c>
      <c r="K21" s="35">
        <f t="shared" si="28"/>
        <v>115523.03178534</v>
      </c>
      <c r="L21" s="35">
        <f t="shared" si="28"/>
        <v>130639.20084076999</v>
      </c>
      <c r="M21" s="35">
        <f t="shared" si="28"/>
        <v>123464.17501627</v>
      </c>
      <c r="N21" s="35">
        <f t="shared" si="28"/>
        <v>122107.58062408</v>
      </c>
      <c r="O21" s="35">
        <f t="shared" si="28"/>
        <v>129603.88407358999</v>
      </c>
      <c r="P21" s="35">
        <f t="shared" ref="P21:V21" si="29">+P22+P23</f>
        <v>156131.56535284</v>
      </c>
      <c r="Q21" s="35">
        <f t="shared" si="29"/>
        <v>223509.28676886001</v>
      </c>
      <c r="R21" s="2">
        <f t="shared" si="29"/>
        <v>209104.27373770002</v>
      </c>
      <c r="S21" s="2">
        <f t="shared" si="29"/>
        <v>198128.28252636001</v>
      </c>
      <c r="T21" s="2">
        <f t="shared" si="29"/>
        <v>199049.07147271</v>
      </c>
      <c r="U21" s="2">
        <f t="shared" si="29"/>
        <v>218590.19042826002</v>
      </c>
      <c r="V21" s="2">
        <f t="shared" si="29"/>
        <v>205792.89782990998</v>
      </c>
      <c r="W21" s="58">
        <f t="shared" si="7"/>
        <v>0.63959581284482758</v>
      </c>
      <c r="X21" s="58">
        <f t="shared" si="8"/>
        <v>-0.18184786533304376</v>
      </c>
      <c r="Y21" s="58">
        <f t="shared" si="9"/>
        <v>4.7607057036773037E-2</v>
      </c>
      <c r="Z21" s="58">
        <f t="shared" si="10"/>
        <v>9.560451541057402E-2</v>
      </c>
      <c r="AA21" s="58">
        <f t="shared" si="11"/>
        <v>0.14446163494752273</v>
      </c>
      <c r="AB21" s="58">
        <f t="shared" si="12"/>
        <v>4.190023782814456E-2</v>
      </c>
      <c r="AC21" s="58">
        <f t="shared" si="13"/>
        <v>0.1558458933609228</v>
      </c>
      <c r="AD21" s="58">
        <f t="shared" si="14"/>
        <v>1.72437421755538E-2</v>
      </c>
      <c r="AE21" s="58">
        <f t="shared" si="15"/>
        <v>0.1308498298721783</v>
      </c>
      <c r="AF21" s="58">
        <f t="shared" si="16"/>
        <v>-5.4922456493325389E-2</v>
      </c>
      <c r="AG21" s="58">
        <f t="shared" si="17"/>
        <v>-1.0987757315117808E-2</v>
      </c>
      <c r="AH21" s="58">
        <f t="shared" si="18"/>
        <v>6.1390975164663075E-2</v>
      </c>
      <c r="AI21" s="58">
        <f t="shared" si="19"/>
        <v>0.20468276447785638</v>
      </c>
      <c r="AJ21" s="58">
        <f t="shared" si="20"/>
        <v>0.43154451992941878</v>
      </c>
      <c r="AK21" s="58">
        <f t="shared" si="20"/>
        <v>-6.4449281904142119E-2</v>
      </c>
      <c r="AL21" s="58">
        <f t="shared" si="20"/>
        <v>-5.2490515928470538E-2</v>
      </c>
      <c r="AM21" s="58">
        <f t="shared" si="20"/>
        <v>4.647438188071229E-3</v>
      </c>
      <c r="AN21" s="58">
        <f t="shared" si="20"/>
        <v>9.8172369310595586E-2</v>
      </c>
      <c r="AO21" s="58">
        <f t="shared" si="20"/>
        <v>-5.8544679307327097E-2</v>
      </c>
      <c r="AR21" s="2"/>
    </row>
    <row r="22" spans="2:44">
      <c r="B22" s="25" t="s">
        <v>26</v>
      </c>
      <c r="C22" s="51">
        <v>23976.58191506</v>
      </c>
      <c r="D22" s="2">
        <v>50104.105873860004</v>
      </c>
      <c r="E22" s="2">
        <v>37735.576224730001</v>
      </c>
      <c r="F22" s="35">
        <v>39031.729081129997</v>
      </c>
      <c r="G22" s="35">
        <v>43114.209834070003</v>
      </c>
      <c r="H22" s="35">
        <v>49654.789497279999</v>
      </c>
      <c r="I22" s="35">
        <v>54529.606023920001</v>
      </c>
      <c r="J22" s="45">
        <v>68079.084950339995</v>
      </c>
      <c r="K22" s="45">
        <v>64126.70888161</v>
      </c>
      <c r="L22" s="45">
        <v>76059.33055336999</v>
      </c>
      <c r="M22" s="45">
        <v>64916.933285230007</v>
      </c>
      <c r="N22" s="45">
        <v>66631.846299240002</v>
      </c>
      <c r="O22" s="45">
        <v>72507.27488189</v>
      </c>
      <c r="P22" s="45">
        <v>102024.54832725</v>
      </c>
      <c r="Q22" s="51">
        <v>141555.55849539003</v>
      </c>
      <c r="R22" s="2">
        <v>118587.96461896</v>
      </c>
      <c r="S22" s="2">
        <v>124985.39583295</v>
      </c>
      <c r="T22" s="2">
        <v>130578.73110669</v>
      </c>
      <c r="U22" s="2">
        <v>143319.10823351002</v>
      </c>
      <c r="V22" s="2">
        <v>129128.10497823</v>
      </c>
      <c r="W22" s="58">
        <f t="shared" si="7"/>
        <v>1.0897101201230428</v>
      </c>
      <c r="X22" s="58">
        <f t="shared" si="8"/>
        <v>-0.24685660852363067</v>
      </c>
      <c r="Y22" s="58">
        <f t="shared" si="9"/>
        <v>3.4348299034335783E-2</v>
      </c>
      <c r="Z22" s="58">
        <f t="shared" si="10"/>
        <v>0.10459389960548005</v>
      </c>
      <c r="AA22" s="58">
        <f t="shared" si="11"/>
        <v>0.15170357263607914</v>
      </c>
      <c r="AB22" s="58">
        <f t="shared" si="12"/>
        <v>9.8174145454932082E-2</v>
      </c>
      <c r="AC22" s="58">
        <f t="shared" si="13"/>
        <v>0.24847931086236663</v>
      </c>
      <c r="AD22" s="58">
        <f t="shared" si="14"/>
        <v>-5.8055657939777516E-2</v>
      </c>
      <c r="AE22" s="58">
        <f t="shared" si="15"/>
        <v>0.18607880990415171</v>
      </c>
      <c r="AF22" s="58">
        <f t="shared" si="16"/>
        <v>-0.14649612594632933</v>
      </c>
      <c r="AG22" s="58">
        <f t="shared" si="17"/>
        <v>2.6417036776445801E-2</v>
      </c>
      <c r="AH22" s="58">
        <f t="shared" si="18"/>
        <v>8.8177484325794753E-2</v>
      </c>
      <c r="AI22" s="58">
        <f t="shared" si="19"/>
        <v>0.40709395703316487</v>
      </c>
      <c r="AJ22" s="58">
        <f t="shared" si="20"/>
        <v>0.38746567190223558</v>
      </c>
      <c r="AK22" s="58">
        <f t="shared" si="20"/>
        <v>-0.16225144473700059</v>
      </c>
      <c r="AL22" s="58">
        <f t="shared" si="20"/>
        <v>5.3946715710534887E-2</v>
      </c>
      <c r="AM22" s="58">
        <f t="shared" si="20"/>
        <v>4.4751910704957876E-2</v>
      </c>
      <c r="AN22" s="58">
        <f t="shared" si="20"/>
        <v>9.7568547487342672E-2</v>
      </c>
      <c r="AO22" s="58">
        <f t="shared" si="20"/>
        <v>-9.9016826368739319E-2</v>
      </c>
      <c r="AR22" s="2"/>
    </row>
    <row r="23" spans="2:44">
      <c r="B23" s="25" t="s">
        <v>27</v>
      </c>
      <c r="C23" s="51">
        <v>29540.588574819998</v>
      </c>
      <c r="D23" s="2">
        <v>37642.422776650004</v>
      </c>
      <c r="E23" s="2">
        <v>34054.433500300001</v>
      </c>
      <c r="F23" s="35">
        <v>36175.991731550006</v>
      </c>
      <c r="G23" s="35">
        <v>39283.70868204</v>
      </c>
      <c r="H23" s="35">
        <v>44646.46704394</v>
      </c>
      <c r="I23" s="35">
        <v>43722.895593870002</v>
      </c>
      <c r="J23" s="45">
        <v>45485.665557019995</v>
      </c>
      <c r="K23" s="45">
        <v>51396.322903730004</v>
      </c>
      <c r="L23" s="45">
        <v>54579.870287400001</v>
      </c>
      <c r="M23" s="45">
        <v>58547.241731039998</v>
      </c>
      <c r="N23" s="45">
        <v>55475.734324839999</v>
      </c>
      <c r="O23" s="45">
        <v>57096.609191699994</v>
      </c>
      <c r="P23" s="45">
        <v>54107.017025589994</v>
      </c>
      <c r="Q23" s="45">
        <v>81953.728273469998</v>
      </c>
      <c r="R23" s="2">
        <v>90516.309118739999</v>
      </c>
      <c r="S23" s="2">
        <v>73142.886693410008</v>
      </c>
      <c r="T23" s="2">
        <v>68470.340366019998</v>
      </c>
      <c r="U23" s="2">
        <v>75271.082194749994</v>
      </c>
      <c r="V23" s="2">
        <v>76664.792851679988</v>
      </c>
      <c r="W23" s="58">
        <f t="shared" si="7"/>
        <v>0.27426109609528559</v>
      </c>
      <c r="X23" s="58">
        <f t="shared" si="8"/>
        <v>-9.5317703051134961E-2</v>
      </c>
      <c r="Y23" s="58">
        <f t="shared" si="9"/>
        <v>6.2299031673256788E-2</v>
      </c>
      <c r="Z23" s="58">
        <f t="shared" si="10"/>
        <v>8.5905508093636396E-2</v>
      </c>
      <c r="AA23" s="58">
        <f t="shared" si="11"/>
        <v>0.13651354573739072</v>
      </c>
      <c r="AB23" s="58">
        <f t="shared" si="12"/>
        <v>-2.0686327748196565E-2</v>
      </c>
      <c r="AC23" s="58">
        <f t="shared" si="13"/>
        <v>4.0316862348822369E-2</v>
      </c>
      <c r="AD23" s="58">
        <f t="shared" si="14"/>
        <v>0.12994549545066048</v>
      </c>
      <c r="AE23" s="58">
        <f t="shared" si="15"/>
        <v>6.1941150724597049E-2</v>
      </c>
      <c r="AF23" s="58">
        <f t="shared" si="16"/>
        <v>7.2689279449531519E-2</v>
      </c>
      <c r="AG23" s="58">
        <f t="shared" si="17"/>
        <v>-5.2462034339895713E-2</v>
      </c>
      <c r="AH23" s="58">
        <f t="shared" si="18"/>
        <v>2.9217727112342606E-2</v>
      </c>
      <c r="AI23" s="58">
        <f t="shared" si="19"/>
        <v>-5.236024009889173E-2</v>
      </c>
      <c r="AJ23" s="58">
        <f t="shared" si="20"/>
        <v>0.51465988662265127</v>
      </c>
      <c r="AK23" s="58">
        <f t="shared" si="20"/>
        <v>0.10448067495718649</v>
      </c>
      <c r="AL23" s="58">
        <f t="shared" si="20"/>
        <v>-0.19193692931667594</v>
      </c>
      <c r="AM23" s="58">
        <f t="shared" si="20"/>
        <v>-6.3882443510545728E-2</v>
      </c>
      <c r="AN23" s="58">
        <f t="shared" si="20"/>
        <v>9.9323908605908118E-2</v>
      </c>
      <c r="AO23" s="58">
        <f t="shared" si="20"/>
        <v>1.8515884404638028E-2</v>
      </c>
      <c r="AR23" s="2"/>
    </row>
    <row r="24" spans="2:44">
      <c r="B24" s="24" t="s">
        <v>28</v>
      </c>
      <c r="C24" s="51">
        <v>9953.9621532700003</v>
      </c>
      <c r="D24" s="35">
        <f t="shared" ref="D24:O24" si="30">+D25+D26</f>
        <v>17166.573329089999</v>
      </c>
      <c r="E24" s="35">
        <f t="shared" si="30"/>
        <v>10466.77359506</v>
      </c>
      <c r="F24" s="35">
        <f t="shared" si="30"/>
        <v>11382.113731269999</v>
      </c>
      <c r="G24" s="35">
        <f t="shared" si="30"/>
        <v>14024.00634425</v>
      </c>
      <c r="H24" s="35">
        <f t="shared" si="30"/>
        <v>15032.625364490001</v>
      </c>
      <c r="I24" s="35">
        <f t="shared" si="30"/>
        <v>15673.12763327</v>
      </c>
      <c r="J24" s="35">
        <f t="shared" si="30"/>
        <v>14711.9287346</v>
      </c>
      <c r="K24" s="35">
        <f t="shared" si="30"/>
        <v>17194.54622416</v>
      </c>
      <c r="L24" s="35">
        <f t="shared" si="30"/>
        <v>19483.809244440003</v>
      </c>
      <c r="M24" s="35">
        <f t="shared" si="30"/>
        <v>19373.560465369999</v>
      </c>
      <c r="N24" s="35">
        <f t="shared" si="30"/>
        <v>17816.916874409999</v>
      </c>
      <c r="O24" s="35">
        <f t="shared" si="30"/>
        <v>16014.97120661</v>
      </c>
      <c r="P24" s="35">
        <f t="shared" ref="P24:V24" si="31">+P25+P26</f>
        <v>14716.38652581</v>
      </c>
      <c r="Q24" s="35">
        <f t="shared" si="31"/>
        <v>24128.095281409998</v>
      </c>
      <c r="R24" s="2">
        <f t="shared" si="31"/>
        <v>25459.096273040002</v>
      </c>
      <c r="S24" s="2">
        <f t="shared" si="31"/>
        <v>21911.849728549998</v>
      </c>
      <c r="T24" s="2">
        <f t="shared" si="31"/>
        <v>23069.626744380002</v>
      </c>
      <c r="U24" s="2">
        <f t="shared" si="31"/>
        <v>23563.112503299999</v>
      </c>
      <c r="V24" s="2">
        <f t="shared" si="31"/>
        <v>22118.053711029999</v>
      </c>
      <c r="W24" s="58">
        <f t="shared" si="7"/>
        <v>0.72459700617312128</v>
      </c>
      <c r="X24" s="58">
        <f t="shared" si="8"/>
        <v>-0.39028171817358004</v>
      </c>
      <c r="Y24" s="58">
        <f t="shared" si="9"/>
        <v>8.7451985838502555E-2</v>
      </c>
      <c r="Z24" s="58">
        <f t="shared" si="10"/>
        <v>0.23210913854444692</v>
      </c>
      <c r="AA24" s="58">
        <f t="shared" si="11"/>
        <v>7.1920890185103614E-2</v>
      </c>
      <c r="AB24" s="58">
        <f t="shared" si="12"/>
        <v>4.2607478949950428E-2</v>
      </c>
      <c r="AC24" s="58">
        <f t="shared" si="13"/>
        <v>-6.1327829464594141E-2</v>
      </c>
      <c r="AD24" s="58">
        <f t="shared" si="14"/>
        <v>0.16874860763302224</v>
      </c>
      <c r="AE24" s="58">
        <f t="shared" si="15"/>
        <v>0.13313890290767705</v>
      </c>
      <c r="AF24" s="58">
        <f t="shared" si="16"/>
        <v>-5.658481752045752E-3</v>
      </c>
      <c r="AG24" s="58">
        <f t="shared" si="17"/>
        <v>-8.0348864822368693E-2</v>
      </c>
      <c r="AH24" s="58">
        <f t="shared" si="18"/>
        <v>-0.10113678368158574</v>
      </c>
      <c r="AI24" s="58">
        <f t="shared" si="19"/>
        <v>-8.1085670654470143E-2</v>
      </c>
      <c r="AJ24" s="58">
        <f t="shared" si="20"/>
        <v>0.63953938278893996</v>
      </c>
      <c r="AK24" s="58">
        <f t="shared" si="20"/>
        <v>5.5163947924870005E-2</v>
      </c>
      <c r="AL24" s="58">
        <f t="shared" si="20"/>
        <v>-0.13933120431483559</v>
      </c>
      <c r="AM24" s="58">
        <f t="shared" si="20"/>
        <v>5.2837940665569683E-2</v>
      </c>
      <c r="AN24" s="58">
        <f t="shared" si="20"/>
        <v>2.139114621957261E-2</v>
      </c>
      <c r="AO24" s="58">
        <f t="shared" si="20"/>
        <v>-6.1327160920172208E-2</v>
      </c>
      <c r="AR24" s="2"/>
    </row>
    <row r="25" spans="2:44">
      <c r="B25" s="25" t="s">
        <v>26</v>
      </c>
      <c r="C25" s="51">
        <v>1508.88751714</v>
      </c>
      <c r="D25" s="2">
        <v>1626.1560737699999</v>
      </c>
      <c r="E25" s="2">
        <v>1510.1611989999999</v>
      </c>
      <c r="F25" s="35">
        <v>1952.59026754</v>
      </c>
      <c r="G25" s="35">
        <v>1797.5635590999998</v>
      </c>
      <c r="H25" s="35">
        <v>1708.7982933199999</v>
      </c>
      <c r="I25" s="35">
        <v>2274.1752424400001</v>
      </c>
      <c r="J25" s="45">
        <v>2025.8811200799998</v>
      </c>
      <c r="K25" s="45">
        <v>2221.86591946</v>
      </c>
      <c r="L25" s="45">
        <v>1653.34191044</v>
      </c>
      <c r="M25" s="45">
        <v>2176.9704328400003</v>
      </c>
      <c r="N25" s="45">
        <v>1554.8307086</v>
      </c>
      <c r="O25" s="45">
        <v>1605.34662213</v>
      </c>
      <c r="P25" s="45">
        <v>1013.429527</v>
      </c>
      <c r="Q25" s="45">
        <v>2282.625677</v>
      </c>
      <c r="R25" s="2">
        <v>1160.016627</v>
      </c>
      <c r="S25" s="2">
        <v>1073.15524</v>
      </c>
      <c r="T25" s="2">
        <v>1059.6232029299999</v>
      </c>
      <c r="U25" s="2">
        <v>986.382655</v>
      </c>
      <c r="V25" s="2">
        <v>805.12771799999996</v>
      </c>
      <c r="W25" s="58">
        <f t="shared" si="7"/>
        <v>7.7718554430269871E-2</v>
      </c>
      <c r="X25" s="58">
        <f t="shared" si="8"/>
        <v>-7.1330714585767452E-2</v>
      </c>
      <c r="Y25" s="58">
        <f t="shared" si="9"/>
        <v>0.29296810753247282</v>
      </c>
      <c r="Z25" s="58">
        <f t="shared" si="10"/>
        <v>-7.9395411836868823E-2</v>
      </c>
      <c r="AA25" s="58">
        <f t="shared" si="11"/>
        <v>-4.9380877427467884E-2</v>
      </c>
      <c r="AB25" s="58">
        <f t="shared" si="12"/>
        <v>0.33086230910351477</v>
      </c>
      <c r="AC25" s="58">
        <f t="shared" si="13"/>
        <v>-0.10917985462439628</v>
      </c>
      <c r="AD25" s="58">
        <f t="shared" si="14"/>
        <v>9.6740523141980228E-2</v>
      </c>
      <c r="AE25" s="58">
        <f t="shared" si="15"/>
        <v>-0.25587683038865527</v>
      </c>
      <c r="AF25" s="58">
        <f t="shared" si="16"/>
        <v>0.31670915682567324</v>
      </c>
      <c r="AG25" s="58">
        <f t="shared" si="17"/>
        <v>-0.2857823491099869</v>
      </c>
      <c r="AH25" s="58">
        <f t="shared" si="18"/>
        <v>3.2489655144183116E-2</v>
      </c>
      <c r="AI25" s="58">
        <f t="shared" si="19"/>
        <v>-0.36871606852396444</v>
      </c>
      <c r="AJ25" s="58">
        <f t="shared" si="20"/>
        <v>1.2523773150335691</v>
      </c>
      <c r="AK25" s="58">
        <f t="shared" si="20"/>
        <v>-0.49180602028249243</v>
      </c>
      <c r="AL25" s="58">
        <f t="shared" si="20"/>
        <v>-7.4879432741096319E-2</v>
      </c>
      <c r="AM25" s="58">
        <f t="shared" si="20"/>
        <v>-1.2609580203885584E-2</v>
      </c>
      <c r="AN25" s="58">
        <f t="shared" si="20"/>
        <v>-6.9119426346535229E-2</v>
      </c>
      <c r="AO25" s="58">
        <f t="shared" si="20"/>
        <v>-0.18375722249495563</v>
      </c>
      <c r="AR25" s="2"/>
    </row>
    <row r="26" spans="2:44">
      <c r="B26" s="25" t="s">
        <v>27</v>
      </c>
      <c r="C26" s="51">
        <v>8445.0746361300007</v>
      </c>
      <c r="D26" s="2">
        <v>15540.417255320001</v>
      </c>
      <c r="E26" s="2">
        <v>8956.6123960599998</v>
      </c>
      <c r="F26" s="35">
        <v>9429.52346373</v>
      </c>
      <c r="G26" s="35">
        <v>12226.44278515</v>
      </c>
      <c r="H26" s="35">
        <v>13323.827071170001</v>
      </c>
      <c r="I26" s="35">
        <v>13398.95239083</v>
      </c>
      <c r="J26" s="45">
        <v>12686.047614520001</v>
      </c>
      <c r="K26" s="45">
        <v>14972.680304700001</v>
      </c>
      <c r="L26" s="45">
        <v>17830.467334000001</v>
      </c>
      <c r="M26" s="45">
        <v>17196.590032529999</v>
      </c>
      <c r="N26" s="45">
        <v>16262.08616581</v>
      </c>
      <c r="O26" s="45">
        <v>14409.62458448</v>
      </c>
      <c r="P26" s="45">
        <v>13702.956998809999</v>
      </c>
      <c r="Q26" s="45">
        <v>21845.469604409998</v>
      </c>
      <c r="R26" s="2">
        <v>24299.079646040002</v>
      </c>
      <c r="S26" s="2">
        <v>20838.694488549998</v>
      </c>
      <c r="T26" s="2">
        <v>22010.003541450002</v>
      </c>
      <c r="U26" s="2">
        <v>22576.729848299998</v>
      </c>
      <c r="V26" s="2">
        <v>21312.92599303</v>
      </c>
      <c r="W26" s="58">
        <f t="shared" si="7"/>
        <v>0.84017524117957088</v>
      </c>
      <c r="X26" s="58">
        <f t="shared" si="8"/>
        <v>-0.42365689100182591</v>
      </c>
      <c r="Y26" s="58">
        <f t="shared" si="9"/>
        <v>5.2800215835848041E-2</v>
      </c>
      <c r="Z26" s="58">
        <f t="shared" si="10"/>
        <v>0.29661300830080695</v>
      </c>
      <c r="AA26" s="58">
        <f t="shared" si="11"/>
        <v>8.9754992952885804E-2</v>
      </c>
      <c r="AB26" s="58">
        <f t="shared" si="12"/>
        <v>5.6384189961873332E-3</v>
      </c>
      <c r="AC26" s="58">
        <f t="shared" si="13"/>
        <v>-5.3206008612874722E-2</v>
      </c>
      <c r="AD26" s="58">
        <f t="shared" si="14"/>
        <v>0.18024784075087363</v>
      </c>
      <c r="AE26" s="58">
        <f t="shared" si="15"/>
        <v>0.19086676340794684</v>
      </c>
      <c r="AF26" s="58">
        <f t="shared" si="16"/>
        <v>-3.5550234864640595E-2</v>
      </c>
      <c r="AG26" s="58">
        <f t="shared" si="17"/>
        <v>-5.4342393750868134E-2</v>
      </c>
      <c r="AH26" s="58">
        <f t="shared" si="18"/>
        <v>-0.11391291144580717</v>
      </c>
      <c r="AI26" s="58">
        <f t="shared" si="19"/>
        <v>-4.9041359927664008E-2</v>
      </c>
      <c r="AJ26" s="58">
        <f t="shared" si="20"/>
        <v>0.59421573068550937</v>
      </c>
      <c r="AK26" s="58">
        <f t="shared" si="20"/>
        <v>0.11231665356988652</v>
      </c>
      <c r="AL26" s="58">
        <f t="shared" si="20"/>
        <v>-0.14240807503398345</v>
      </c>
      <c r="AM26" s="58">
        <f t="shared" si="20"/>
        <v>5.6208370132955876E-2</v>
      </c>
      <c r="AN26" s="58">
        <f t="shared" si="20"/>
        <v>2.5748578630744756E-2</v>
      </c>
      <c r="AO26" s="58">
        <f t="shared" si="20"/>
        <v>-5.5978162637453921E-2</v>
      </c>
      <c r="AR26" s="2"/>
    </row>
    <row r="27" spans="2:44">
      <c r="B27" s="24" t="s">
        <v>31</v>
      </c>
      <c r="C27" s="51">
        <v>43573.199595860002</v>
      </c>
      <c r="D27" s="2">
        <v>51857.342274709998</v>
      </c>
      <c r="E27" s="2">
        <v>67557.918665179997</v>
      </c>
      <c r="F27" s="35">
        <v>77666.51945728001</v>
      </c>
      <c r="G27" s="35">
        <v>95978.888995660003</v>
      </c>
      <c r="H27" s="35">
        <v>115004.45879780999</v>
      </c>
      <c r="I27" s="35">
        <f>129673.08893021</f>
        <v>129673.08893021</v>
      </c>
      <c r="J27" s="45">
        <v>151794.97618403996</v>
      </c>
      <c r="K27" s="45">
        <v>152761.39234339001</v>
      </c>
      <c r="L27" s="45">
        <v>184786.08341677999</v>
      </c>
      <c r="M27" s="45">
        <v>175118.72699858999</v>
      </c>
      <c r="N27" s="45">
        <v>196712.97338833002</v>
      </c>
      <c r="O27" s="45">
        <v>220521.85339141998</v>
      </c>
      <c r="P27" s="45">
        <v>207695.22942734</v>
      </c>
      <c r="Q27" s="51">
        <v>135243.20022386004</v>
      </c>
      <c r="R27" s="2">
        <v>210616.55947132999</v>
      </c>
      <c r="S27" s="2">
        <v>223536.21041768999</v>
      </c>
      <c r="T27" s="2">
        <v>164364.12341708998</v>
      </c>
      <c r="U27" s="2">
        <v>168715.94726828998</v>
      </c>
      <c r="V27" s="2">
        <v>209049.98393199994</v>
      </c>
      <c r="W27" s="58">
        <f t="shared" si="7"/>
        <v>0.19012013704949715</v>
      </c>
      <c r="X27" s="58">
        <f t="shared" si="8"/>
        <v>0.30276477161705451</v>
      </c>
      <c r="Y27" s="58">
        <f t="shared" si="9"/>
        <v>0.149628659257528</v>
      </c>
      <c r="Z27" s="58">
        <f t="shared" si="10"/>
        <v>0.23578202894044442</v>
      </c>
      <c r="AA27" s="58">
        <f t="shared" si="11"/>
        <v>0.19822661005182396</v>
      </c>
      <c r="AB27" s="58">
        <f t="shared" si="12"/>
        <v>0.12754836017435656</v>
      </c>
      <c r="AC27" s="58">
        <f t="shared" si="13"/>
        <v>0.17059736477578591</v>
      </c>
      <c r="AD27" s="58">
        <f t="shared" si="14"/>
        <v>6.3665885633681363E-3</v>
      </c>
      <c r="AE27" s="58">
        <f t="shared" si="15"/>
        <v>0.2096386435219324</v>
      </c>
      <c r="AF27" s="58">
        <f t="shared" si="16"/>
        <v>-5.2316474484637165E-2</v>
      </c>
      <c r="AG27" s="58">
        <f t="shared" si="17"/>
        <v>0.12331203384041212</v>
      </c>
      <c r="AH27" s="58">
        <f t="shared" si="18"/>
        <v>0.12103360339172431</v>
      </c>
      <c r="AI27" s="58">
        <f t="shared" si="19"/>
        <v>-5.8164865598662852E-2</v>
      </c>
      <c r="AJ27" s="58">
        <f t="shared" si="20"/>
        <v>-0.34883819625152512</v>
      </c>
      <c r="AK27" s="58">
        <f t="shared" si="20"/>
        <v>0.55731718210386116</v>
      </c>
      <c r="AL27" s="58">
        <f t="shared" si="20"/>
        <v>6.1342047267269439E-2</v>
      </c>
      <c r="AM27" s="58">
        <f t="shared" si="20"/>
        <v>-0.26470918018174161</v>
      </c>
      <c r="AN27" s="58">
        <f t="shared" si="20"/>
        <v>2.6476725946798174E-2</v>
      </c>
      <c r="AO27" s="58">
        <f t="shared" si="20"/>
        <v>0.23906475538777183</v>
      </c>
      <c r="AR27" s="190"/>
    </row>
    <row r="28" spans="2:44" ht="14.25">
      <c r="B28" s="186" t="s">
        <v>74</v>
      </c>
      <c r="C28" s="51"/>
      <c r="D28" s="2"/>
      <c r="E28" s="2"/>
      <c r="F28" s="35"/>
      <c r="G28" s="35"/>
      <c r="H28" s="35"/>
      <c r="I28" s="35"/>
      <c r="J28" s="45"/>
      <c r="K28" s="45"/>
      <c r="L28" s="45"/>
      <c r="M28" s="45"/>
      <c r="N28" s="45"/>
      <c r="O28" s="45"/>
      <c r="P28" s="45"/>
      <c r="Q28" s="51"/>
      <c r="R28" s="2"/>
      <c r="S28" s="2">
        <v>-8105.8679856400004</v>
      </c>
      <c r="T28" s="2">
        <v>0</v>
      </c>
      <c r="U28" s="2">
        <v>0</v>
      </c>
      <c r="V28" s="2">
        <v>0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R28" s="2"/>
    </row>
    <row r="29" spans="2:44" ht="14.25">
      <c r="B29" s="186" t="s">
        <v>75</v>
      </c>
      <c r="C29" s="51"/>
      <c r="D29" s="2"/>
      <c r="E29" s="2"/>
      <c r="F29" s="35"/>
      <c r="G29" s="35"/>
      <c r="H29" s="35"/>
      <c r="I29" s="35"/>
      <c r="J29" s="45"/>
      <c r="K29" s="45"/>
      <c r="L29" s="45"/>
      <c r="M29" s="45"/>
      <c r="N29" s="45"/>
      <c r="O29" s="45"/>
      <c r="P29" s="45"/>
      <c r="Q29" s="51"/>
      <c r="R29" s="2"/>
      <c r="S29" s="2">
        <v>519.12551665000001</v>
      </c>
      <c r="T29" s="2">
        <v>-1292.47287557</v>
      </c>
      <c r="U29" s="2">
        <v>0</v>
      </c>
      <c r="V29" s="2">
        <v>0</v>
      </c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>
        <f t="shared" si="20"/>
        <v>-1</v>
      </c>
      <c r="AO29" s="58" t="e">
        <f t="shared" si="20"/>
        <v>#DIV/0!</v>
      </c>
      <c r="AR29" s="2"/>
    </row>
    <row r="30" spans="2:44">
      <c r="B30" s="187" t="s">
        <v>32</v>
      </c>
      <c r="C30" s="51">
        <v>3602.1230770900002</v>
      </c>
      <c r="D30" s="2">
        <v>3378.7080235799999</v>
      </c>
      <c r="E30" s="2">
        <v>4107.0092885900003</v>
      </c>
      <c r="F30" s="35">
        <v>5322.6557461899993</v>
      </c>
      <c r="G30" s="35">
        <v>5717.1900195100006</v>
      </c>
      <c r="H30" s="35">
        <v>6246.0779281499999</v>
      </c>
      <c r="I30" s="35">
        <v>7168.6542541000008</v>
      </c>
      <c r="J30" s="45">
        <v>4811.8861537900002</v>
      </c>
      <c r="K30" s="45">
        <v>5024.6030734399992</v>
      </c>
      <c r="L30" s="45">
        <v>5251.8092175699994</v>
      </c>
      <c r="M30" s="45">
        <v>59661.4932864</v>
      </c>
      <c r="N30" s="45">
        <v>6646.50019737</v>
      </c>
      <c r="O30" s="45">
        <v>15637.13493701</v>
      </c>
      <c r="P30" s="45">
        <v>6976.9452282799994</v>
      </c>
      <c r="Q30" s="45">
        <v>8065.2166831200002</v>
      </c>
      <c r="R30" s="2">
        <v>40133.8343503</v>
      </c>
      <c r="S30" s="2">
        <v>45415.842544120002</v>
      </c>
      <c r="T30" s="2">
        <v>47547.841788329999</v>
      </c>
      <c r="U30" s="2">
        <v>50579.483535160005</v>
      </c>
      <c r="V30" s="2">
        <v>51717.724128919996</v>
      </c>
      <c r="W30" s="58">
        <f t="shared" si="7"/>
        <v>-6.2023159322609156E-2</v>
      </c>
      <c r="X30" s="58">
        <f t="shared" si="8"/>
        <v>0.2155561415568279</v>
      </c>
      <c r="Y30" s="58">
        <f t="shared" si="9"/>
        <v>0.29599311133219985</v>
      </c>
      <c r="Z30" s="58">
        <f t="shared" si="10"/>
        <v>7.4123575172490241E-2</v>
      </c>
      <c r="AA30" s="58">
        <f t="shared" si="11"/>
        <v>9.2508366318971635E-2</v>
      </c>
      <c r="AB30" s="58">
        <f t="shared" si="12"/>
        <v>0.14770490162988636</v>
      </c>
      <c r="AC30" s="58">
        <f t="shared" si="13"/>
        <v>-0.32876018521357531</v>
      </c>
      <c r="AD30" s="58">
        <f t="shared" si="14"/>
        <v>4.4206557023892978E-2</v>
      </c>
      <c r="AE30" s="58">
        <f t="shared" si="15"/>
        <v>4.5218724904064533E-2</v>
      </c>
      <c r="AF30" s="58">
        <f t="shared" si="16"/>
        <v>10.360179095387101</v>
      </c>
      <c r="AG30" s="58">
        <f t="shared" si="17"/>
        <v>-0.88859648273528735</v>
      </c>
      <c r="AH30" s="58">
        <f t="shared" si="18"/>
        <v>1.352687049222923</v>
      </c>
      <c r="AI30" s="58">
        <f t="shared" si="19"/>
        <v>-0.55382202325523511</v>
      </c>
      <c r="AJ30" s="58">
        <f t="shared" si="20"/>
        <v>0.15598108043457981</v>
      </c>
      <c r="AK30" s="58">
        <f t="shared" si="20"/>
        <v>3.9761631865759579</v>
      </c>
      <c r="AL30" s="58">
        <f t="shared" si="20"/>
        <v>0.1316098568533739</v>
      </c>
      <c r="AM30" s="58">
        <f t="shared" si="20"/>
        <v>4.6943954461239557E-2</v>
      </c>
      <c r="AN30" s="58">
        <f t="shared" si="20"/>
        <v>6.3759818170634253E-2</v>
      </c>
      <c r="AO30" s="58">
        <f t="shared" si="20"/>
        <v>2.2503997949460119E-2</v>
      </c>
      <c r="AR30" s="2"/>
    </row>
    <row r="31" spans="2:44">
      <c r="B31" s="23" t="s">
        <v>11</v>
      </c>
      <c r="C31" s="51">
        <v>1212.58638073</v>
      </c>
      <c r="D31" s="2">
        <v>3547.2472790700003</v>
      </c>
      <c r="E31" s="2">
        <v>1841.77139175</v>
      </c>
      <c r="F31" s="35">
        <v>2170.11269722</v>
      </c>
      <c r="G31" s="35">
        <v>7212.4096126899994</v>
      </c>
      <c r="H31" s="35">
        <v>5173.2849719899996</v>
      </c>
      <c r="I31" s="35">
        <v>5126.0321229399997</v>
      </c>
      <c r="J31" s="45">
        <v>6842.3298199700002</v>
      </c>
      <c r="K31" s="45">
        <v>8336.2827673600004</v>
      </c>
      <c r="L31" s="45">
        <v>22124.899129290006</v>
      </c>
      <c r="M31" s="45">
        <v>8409.2875552400001</v>
      </c>
      <c r="N31" s="45">
        <v>6616.2464104799992</v>
      </c>
      <c r="O31" s="45">
        <v>14064.54481732</v>
      </c>
      <c r="P31" s="45">
        <v>6826.41198179</v>
      </c>
      <c r="Q31" s="51">
        <v>2019.1141715699998</v>
      </c>
      <c r="R31" s="2">
        <v>22832.700354470002</v>
      </c>
      <c r="S31" s="2">
        <v>15609.054554600001</v>
      </c>
      <c r="T31" s="2">
        <v>16193.55630224</v>
      </c>
      <c r="U31" s="2">
        <v>15123.851966040002</v>
      </c>
      <c r="V31" s="2">
        <v>31286.534337689998</v>
      </c>
      <c r="W31" s="58">
        <f t="shared" si="7"/>
        <v>1.9253563584760784</v>
      </c>
      <c r="X31" s="58">
        <f t="shared" si="8"/>
        <v>-0.48078855324885428</v>
      </c>
      <c r="Y31" s="58">
        <f t="shared" si="9"/>
        <v>0.17827473428068563</v>
      </c>
      <c r="Z31" s="58">
        <f t="shared" si="10"/>
        <v>2.3235184614740887</v>
      </c>
      <c r="AA31" s="58">
        <f t="shared" si="11"/>
        <v>-0.28272446383414307</v>
      </c>
      <c r="AB31" s="58">
        <f t="shared" si="12"/>
        <v>-9.1340123936423101E-3</v>
      </c>
      <c r="AC31" s="58">
        <f t="shared" si="13"/>
        <v>0.33481992618603229</v>
      </c>
      <c r="AD31" s="58">
        <f t="shared" si="14"/>
        <v>0.21833980335612502</v>
      </c>
      <c r="AE31" s="58">
        <f t="shared" si="15"/>
        <v>1.6540485425852096</v>
      </c>
      <c r="AF31" s="58">
        <f t="shared" si="16"/>
        <v>-0.61991747369788541</v>
      </c>
      <c r="AG31" s="58">
        <f t="shared" si="17"/>
        <v>-0.21322152833776264</v>
      </c>
      <c r="AH31" s="58">
        <f t="shared" si="18"/>
        <v>1.1257589189909929</v>
      </c>
      <c r="AI31" s="58">
        <f t="shared" si="19"/>
        <v>-0.51463683535755034</v>
      </c>
      <c r="AJ31" s="58">
        <f t="shared" si="20"/>
        <v>-0.70422028776520551</v>
      </c>
      <c r="AK31" s="58">
        <f t="shared" si="20"/>
        <v>10.30827601329548</v>
      </c>
      <c r="AL31" s="58">
        <f t="shared" si="20"/>
        <v>-0.31637282002239453</v>
      </c>
      <c r="AM31" s="58">
        <f t="shared" si="20"/>
        <v>3.7446326143292685E-2</v>
      </c>
      <c r="AN31" s="58">
        <f t="shared" si="20"/>
        <v>-6.6057406800261065E-2</v>
      </c>
      <c r="AO31" s="58">
        <f t="shared" si="20"/>
        <v>1.0686882156703628</v>
      </c>
      <c r="AR31" s="54"/>
    </row>
    <row r="32" spans="2:44">
      <c r="B32" s="23" t="s">
        <v>33</v>
      </c>
      <c r="C32" s="51">
        <v>1409.6714082700003</v>
      </c>
      <c r="D32" s="2">
        <v>371.65841358</v>
      </c>
      <c r="E32" s="2">
        <v>1376.7535116900001</v>
      </c>
      <c r="F32" s="35">
        <v>4694.4429793599993</v>
      </c>
      <c r="G32" s="35">
        <v>17966.0272233</v>
      </c>
      <c r="H32" s="35">
        <v>16405.82965552</v>
      </c>
      <c r="I32" s="35">
        <v>21309.89581423</v>
      </c>
      <c r="J32" s="45">
        <v>6620.9157180100001</v>
      </c>
      <c r="K32" s="45">
        <v>19154.220411660001</v>
      </c>
      <c r="L32" s="45">
        <v>23811.62346146</v>
      </c>
      <c r="M32" s="45">
        <v>22558.690948799998</v>
      </c>
      <c r="N32" s="45">
        <v>17389.137369529999</v>
      </c>
      <c r="O32" s="45">
        <v>10164.171982639999</v>
      </c>
      <c r="P32" s="45">
        <v>22820.938167700002</v>
      </c>
      <c r="Q32" s="45">
        <v>20863.79816731</v>
      </c>
      <c r="R32" s="2">
        <v>7778.6466163699997</v>
      </c>
      <c r="S32" s="2">
        <v>16739.57421803</v>
      </c>
      <c r="T32" s="2">
        <v>6504.5221764500002</v>
      </c>
      <c r="U32" s="2">
        <v>6105.1856945</v>
      </c>
      <c r="V32" s="2">
        <v>5936.6131855499998</v>
      </c>
      <c r="W32" s="58">
        <f t="shared" si="7"/>
        <v>-0.73635103088590514</v>
      </c>
      <c r="X32" s="58">
        <f t="shared" si="8"/>
        <v>2.7043517955867613</v>
      </c>
      <c r="Y32" s="58">
        <f t="shared" si="9"/>
        <v>2.4097919050138836</v>
      </c>
      <c r="Z32" s="58">
        <f t="shared" si="10"/>
        <v>2.8270839165138471</v>
      </c>
      <c r="AA32" s="58">
        <f t="shared" si="11"/>
        <v>-8.6841545344904736E-2</v>
      </c>
      <c r="AB32" s="58">
        <f t="shared" si="12"/>
        <v>0.29892216740528887</v>
      </c>
      <c r="AC32" s="58">
        <f t="shared" si="13"/>
        <v>-0.68930323377795277</v>
      </c>
      <c r="AD32" s="58">
        <f t="shared" si="14"/>
        <v>1.8929865939174113</v>
      </c>
      <c r="AE32" s="58">
        <f t="shared" si="15"/>
        <v>0.24315283784480402</v>
      </c>
      <c r="AF32" s="58">
        <f t="shared" si="16"/>
        <v>-5.2618525346997846E-2</v>
      </c>
      <c r="AG32" s="58">
        <f t="shared" si="17"/>
        <v>-0.22916017560606694</v>
      </c>
      <c r="AH32" s="58">
        <f t="shared" si="18"/>
        <v>-0.41548727998146118</v>
      </c>
      <c r="AI32" s="58">
        <f t="shared" si="19"/>
        <v>1.2452333752987705</v>
      </c>
      <c r="AJ32" s="58">
        <f t="shared" si="20"/>
        <v>-8.5760716146195626E-2</v>
      </c>
      <c r="AK32" s="58">
        <f t="shared" si="20"/>
        <v>-0.62717015598062065</v>
      </c>
      <c r="AL32" s="58">
        <f t="shared" si="20"/>
        <v>1.1519905767157379</v>
      </c>
      <c r="AM32" s="58">
        <f t="shared" si="20"/>
        <v>-0.61142845739504803</v>
      </c>
      <c r="AN32" s="58">
        <f t="shared" si="20"/>
        <v>-6.1393669068547596E-2</v>
      </c>
      <c r="AO32" s="58">
        <f t="shared" si="20"/>
        <v>-2.7611364729145382E-2</v>
      </c>
      <c r="AR32" s="2"/>
    </row>
    <row r="33" spans="1:44">
      <c r="C33" s="51"/>
      <c r="D33" s="2"/>
      <c r="E33" s="2"/>
      <c r="F33" s="36"/>
      <c r="G33" s="36"/>
      <c r="H33" s="36"/>
      <c r="I33" s="36"/>
      <c r="J33" s="53"/>
      <c r="K33" s="53"/>
      <c r="L33" s="53"/>
      <c r="M33" s="53"/>
      <c r="N33" s="53"/>
      <c r="O33" s="53"/>
      <c r="P33" s="53"/>
      <c r="Q33" s="53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R33" s="2"/>
    </row>
    <row r="34" spans="1:44" ht="15">
      <c r="B34" s="15" t="s">
        <v>10</v>
      </c>
      <c r="C34" s="21">
        <v>83.638577929999997</v>
      </c>
      <c r="D34" s="21">
        <v>40.956496819999998</v>
      </c>
      <c r="E34" s="21">
        <v>167.62173200000001</v>
      </c>
      <c r="F34" s="44">
        <v>2645.7950000000001</v>
      </c>
      <c r="G34" s="45">
        <v>265.25</v>
      </c>
      <c r="H34" s="45">
        <v>0</v>
      </c>
      <c r="I34" s="45">
        <v>-44.7</v>
      </c>
      <c r="J34" s="45">
        <v>821.03200000000004</v>
      </c>
      <c r="K34" s="45">
        <v>1058.81351449</v>
      </c>
      <c r="L34" s="45">
        <v>-224.99234332999998</v>
      </c>
      <c r="M34" s="45">
        <v>2366.8503300000002</v>
      </c>
      <c r="N34" s="45">
        <v>240.33914859999999</v>
      </c>
      <c r="O34" s="45">
        <v>29939</v>
      </c>
      <c r="P34" s="45">
        <v>0</v>
      </c>
      <c r="Q34" s="45">
        <v>6608.4729610000004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58">
        <f t="shared" si="7"/>
        <v>-0.51031571992677949</v>
      </c>
      <c r="X34" s="58">
        <f t="shared" ref="X34:AI34" si="32">+E34/D34-1</f>
        <v>3.0926774752411559</v>
      </c>
      <c r="Y34" s="58">
        <f t="shared" si="32"/>
        <v>14.784319660889794</v>
      </c>
      <c r="Z34" s="58">
        <f t="shared" si="32"/>
        <v>-0.8997465790055541</v>
      </c>
      <c r="AA34" s="58">
        <f t="shared" si="32"/>
        <v>-1</v>
      </c>
      <c r="AB34" s="58" t="e">
        <f t="shared" si="32"/>
        <v>#DIV/0!</v>
      </c>
      <c r="AC34" s="58">
        <f t="shared" si="32"/>
        <v>-19.367606263982104</v>
      </c>
      <c r="AD34" s="58">
        <f t="shared" si="32"/>
        <v>0.28961296817907223</v>
      </c>
      <c r="AE34" s="58">
        <f t="shared" si="32"/>
        <v>-1.2124947785903284</v>
      </c>
      <c r="AF34" s="58">
        <f t="shared" si="32"/>
        <v>-11.519692781405018</v>
      </c>
      <c r="AG34" s="58">
        <f t="shared" si="32"/>
        <v>-0.89845612730400237</v>
      </c>
      <c r="AH34" s="58">
        <f t="shared" si="32"/>
        <v>123.56980135944445</v>
      </c>
      <c r="AI34" s="58">
        <f t="shared" si="32"/>
        <v>-1</v>
      </c>
      <c r="AJ34" s="100" t="e">
        <f t="shared" ref="AJ34:AO34" si="33">+Q34/P34-1</f>
        <v>#DIV/0!</v>
      </c>
      <c r="AK34" s="58">
        <f t="shared" si="33"/>
        <v>-1</v>
      </c>
      <c r="AL34" s="100" t="e">
        <f t="shared" si="33"/>
        <v>#DIV/0!</v>
      </c>
      <c r="AM34" s="100" t="e">
        <f t="shared" si="33"/>
        <v>#DIV/0!</v>
      </c>
      <c r="AN34" s="100" t="e">
        <f t="shared" si="33"/>
        <v>#DIV/0!</v>
      </c>
      <c r="AO34" s="100" t="e">
        <f t="shared" si="33"/>
        <v>#DIV/0!</v>
      </c>
      <c r="AR34" s="2"/>
    </row>
    <row r="35" spans="1:44">
      <c r="C35" s="2"/>
      <c r="D35" s="2"/>
      <c r="E35" s="2"/>
      <c r="F35" s="2"/>
      <c r="G35" s="2"/>
      <c r="H35" s="2"/>
      <c r="I35" s="2"/>
      <c r="J35" s="2"/>
      <c r="K35" s="2"/>
      <c r="L35" s="2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</row>
    <row r="36" spans="1:44">
      <c r="A36" s="16">
        <v>2</v>
      </c>
      <c r="B36" s="64" t="s">
        <v>52</v>
      </c>
      <c r="C36" s="22">
        <f>+C40+C56</f>
        <v>240789.57167555008</v>
      </c>
      <c r="D36" s="22">
        <f>+D40+D56</f>
        <v>241553.63313290983</v>
      </c>
      <c r="E36" s="37">
        <f t="shared" ref="E36:O36" si="34">+E40+E56+E65</f>
        <v>381436.60900622007</v>
      </c>
      <c r="F36" s="22">
        <f t="shared" si="34"/>
        <v>408662.85914880974</v>
      </c>
      <c r="G36" s="22">
        <f t="shared" si="34"/>
        <v>596984.38295195019</v>
      </c>
      <c r="H36" s="22">
        <f t="shared" si="34"/>
        <v>507243.31675127003</v>
      </c>
      <c r="I36" s="22">
        <f t="shared" si="34"/>
        <v>559328.25545533991</v>
      </c>
      <c r="J36" s="22">
        <f t="shared" si="34"/>
        <v>699151.14442476025</v>
      </c>
      <c r="K36" s="22">
        <f t="shared" si="34"/>
        <v>713099.93315070029</v>
      </c>
      <c r="L36" s="22">
        <f t="shared" si="34"/>
        <v>843585.2001928403</v>
      </c>
      <c r="M36" s="22">
        <f t="shared" si="34"/>
        <v>971859.41686803009</v>
      </c>
      <c r="N36" s="22">
        <f t="shared" si="34"/>
        <v>1024362.9771300901</v>
      </c>
      <c r="O36" s="22">
        <f t="shared" si="34"/>
        <v>913173.79782361968</v>
      </c>
      <c r="P36" s="22">
        <f t="shared" ref="P36:V36" si="35">+P40+P56+P65</f>
        <v>1078340.0854936305</v>
      </c>
      <c r="Q36" s="22">
        <f t="shared" si="35"/>
        <v>880201.6999729306</v>
      </c>
      <c r="R36" s="22">
        <f t="shared" si="35"/>
        <v>1149397.6603664993</v>
      </c>
      <c r="S36" s="22">
        <f t="shared" si="35"/>
        <v>1062118.7924727092</v>
      </c>
      <c r="T36" s="22">
        <f t="shared" si="35"/>
        <v>1120609.6047732006</v>
      </c>
      <c r="U36" s="22">
        <f t="shared" si="35"/>
        <v>1099142.1422064896</v>
      </c>
      <c r="V36" s="22">
        <f t="shared" si="35"/>
        <v>1058546.1379461212</v>
      </c>
      <c r="W36" s="61">
        <f t="shared" si="7"/>
        <v>3.1731501162737263E-3</v>
      </c>
      <c r="X36" s="61">
        <f t="shared" ref="X36:AO36" si="36">+E36/D36-1</f>
        <v>0.57909696517105402</v>
      </c>
      <c r="Y36" s="61">
        <f t="shared" si="36"/>
        <v>7.1378177919324104E-2</v>
      </c>
      <c r="Z36" s="61">
        <f t="shared" si="36"/>
        <v>0.46082368286511066</v>
      </c>
      <c r="AA36" s="61">
        <f t="shared" si="36"/>
        <v>-0.15032397624361837</v>
      </c>
      <c r="AB36" s="61">
        <f t="shared" si="36"/>
        <v>0.1026823557531662</v>
      </c>
      <c r="AC36" s="61">
        <f t="shared" si="36"/>
        <v>0.24998359658335656</v>
      </c>
      <c r="AD36" s="61">
        <f t="shared" si="36"/>
        <v>1.9951034675651735E-2</v>
      </c>
      <c r="AE36" s="61">
        <f t="shared" si="36"/>
        <v>0.18298314300159157</v>
      </c>
      <c r="AF36" s="61">
        <f t="shared" si="36"/>
        <v>0.15205840103153401</v>
      </c>
      <c r="AG36" s="61">
        <f t="shared" si="36"/>
        <v>5.4023822119521059E-2</v>
      </c>
      <c r="AH36" s="61">
        <f t="shared" si="36"/>
        <v>-0.10854470709004338</v>
      </c>
      <c r="AI36" s="61">
        <f t="shared" si="36"/>
        <v>0.18087059447353182</v>
      </c>
      <c r="AJ36" s="61">
        <f t="shared" si="36"/>
        <v>-0.18374387467011233</v>
      </c>
      <c r="AK36" s="61">
        <f t="shared" si="36"/>
        <v>0.30583440182159105</v>
      </c>
      <c r="AL36" s="61">
        <f t="shared" si="36"/>
        <v>-7.5934440188402896E-2</v>
      </c>
      <c r="AM36" s="61">
        <f t="shared" si="36"/>
        <v>5.5069934469683446E-2</v>
      </c>
      <c r="AN36" s="61">
        <f t="shared" si="36"/>
        <v>-1.9156950355655566E-2</v>
      </c>
      <c r="AO36" s="61">
        <f t="shared" si="36"/>
        <v>-3.6934262368353288E-2</v>
      </c>
    </row>
    <row r="37" spans="1:44">
      <c r="A37" s="16"/>
      <c r="B37" s="17"/>
      <c r="C37" s="21"/>
      <c r="D37" s="21"/>
      <c r="E37" s="3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</row>
    <row r="38" spans="1:44">
      <c r="A38" s="16">
        <v>3</v>
      </c>
      <c r="B38" s="4" t="s">
        <v>15</v>
      </c>
      <c r="C38" s="6">
        <f>+C36-C46</f>
        <v>227048.67167555008</v>
      </c>
      <c r="D38" s="6">
        <f t="shared" ref="D38:O38" si="37">+D36-D46</f>
        <v>230549.03313290986</v>
      </c>
      <c r="E38" s="6">
        <f t="shared" si="37"/>
        <v>369910.80900622002</v>
      </c>
      <c r="F38" s="6">
        <f t="shared" si="37"/>
        <v>385226.05914880976</v>
      </c>
      <c r="G38" s="6">
        <f t="shared" si="37"/>
        <v>572490.18558318017</v>
      </c>
      <c r="H38" s="6">
        <f t="shared" si="37"/>
        <v>461680.96883964009</v>
      </c>
      <c r="I38" s="6">
        <f t="shared" si="37"/>
        <v>511051.51691033982</v>
      </c>
      <c r="J38" s="6">
        <f t="shared" si="37"/>
        <v>605053.98967787041</v>
      </c>
      <c r="K38" s="6">
        <f t="shared" si="37"/>
        <v>607653.07648456027</v>
      </c>
      <c r="L38" s="6">
        <f t="shared" si="37"/>
        <v>729375.17424449045</v>
      </c>
      <c r="M38" s="6">
        <f t="shared" si="37"/>
        <v>841318.21927839005</v>
      </c>
      <c r="N38" s="6">
        <f t="shared" si="37"/>
        <v>921179.51829057001</v>
      </c>
      <c r="O38" s="6">
        <f t="shared" si="37"/>
        <v>804874.4511987695</v>
      </c>
      <c r="P38" s="6">
        <f t="shared" ref="P38:V38" si="38">+P36-P46</f>
        <v>933968.97819120099</v>
      </c>
      <c r="Q38" s="6">
        <f t="shared" si="38"/>
        <v>737652.93722702039</v>
      </c>
      <c r="R38" s="6">
        <f t="shared" si="38"/>
        <v>973527.23851652932</v>
      </c>
      <c r="S38" s="6">
        <f t="shared" si="38"/>
        <v>904943.58268493949</v>
      </c>
      <c r="T38" s="6">
        <f t="shared" si="38"/>
        <v>926037.26716048061</v>
      </c>
      <c r="U38" s="6">
        <f t="shared" si="38"/>
        <v>910997.22231062967</v>
      </c>
      <c r="V38" s="6">
        <f t="shared" si="38"/>
        <v>878796.57661361143</v>
      </c>
      <c r="W38" s="62">
        <f t="shared" si="7"/>
        <v>1.5416788970964657E-2</v>
      </c>
      <c r="X38" s="62">
        <f t="shared" ref="X38:AO38" si="39">+E38/D38-1</f>
        <v>0.60447781532429645</v>
      </c>
      <c r="Y38" s="62">
        <f t="shared" si="39"/>
        <v>4.1402548316267884E-2</v>
      </c>
      <c r="Z38" s="62">
        <f t="shared" si="39"/>
        <v>0.48611489795925711</v>
      </c>
      <c r="AA38" s="62">
        <f t="shared" si="39"/>
        <v>-0.19355653517564109</v>
      </c>
      <c r="AB38" s="62">
        <f t="shared" si="39"/>
        <v>0.10693650248305575</v>
      </c>
      <c r="AC38" s="62">
        <f t="shared" si="39"/>
        <v>0.18393932833981319</v>
      </c>
      <c r="AD38" s="62">
        <f t="shared" si="39"/>
        <v>4.295627912599409E-3</v>
      </c>
      <c r="AE38" s="62">
        <f t="shared" si="39"/>
        <v>0.20031511806724644</v>
      </c>
      <c r="AF38" s="62">
        <f t="shared" si="39"/>
        <v>0.15347800279856472</v>
      </c>
      <c r="AG38" s="62">
        <f t="shared" si="39"/>
        <v>9.4924009943203158E-2</v>
      </c>
      <c r="AH38" s="62">
        <f t="shared" si="39"/>
        <v>-0.126256679379528</v>
      </c>
      <c r="AI38" s="62">
        <f t="shared" si="39"/>
        <v>0.1603908868024817</v>
      </c>
      <c r="AJ38" s="62">
        <f t="shared" si="39"/>
        <v>-0.21019546210665574</v>
      </c>
      <c r="AK38" s="62">
        <f t="shared" si="39"/>
        <v>0.31976325096217462</v>
      </c>
      <c r="AL38" s="62">
        <f t="shared" si="39"/>
        <v>-7.0448625491052796E-2</v>
      </c>
      <c r="AM38" s="62">
        <f t="shared" si="39"/>
        <v>2.3309391744573471E-2</v>
      </c>
      <c r="AN38" s="62">
        <f t="shared" si="39"/>
        <v>-1.6241295445882487E-2</v>
      </c>
      <c r="AO38" s="62">
        <f t="shared" si="39"/>
        <v>-3.5346590426857061E-2</v>
      </c>
    </row>
    <row r="39" spans="1:44">
      <c r="C39" s="51"/>
      <c r="D39" s="2"/>
      <c r="E39" s="38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</row>
    <row r="40" spans="1:44">
      <c r="B40" s="17" t="s">
        <v>1</v>
      </c>
      <c r="C40" s="21">
        <f>+C43+C44+C45+C46+C50</f>
        <v>212083.17167555008</v>
      </c>
      <c r="D40" s="21">
        <f t="shared" ref="D40:O40" si="40">+D43+D44+D45+D46+D50</f>
        <v>202877.63313290983</v>
      </c>
      <c r="E40" s="40">
        <f t="shared" si="40"/>
        <v>259363.00900622003</v>
      </c>
      <c r="F40" s="21">
        <f t="shared" si="40"/>
        <v>353327.68648511975</v>
      </c>
      <c r="G40" s="21">
        <f t="shared" si="40"/>
        <v>436125.13321451016</v>
      </c>
      <c r="H40" s="21">
        <f t="shared" si="40"/>
        <v>446580.15996678005</v>
      </c>
      <c r="I40" s="21">
        <f t="shared" si="40"/>
        <v>509407.99059096986</v>
      </c>
      <c r="J40" s="21">
        <f t="shared" si="40"/>
        <v>587793.41996819025</v>
      </c>
      <c r="K40" s="21">
        <f t="shared" si="40"/>
        <v>616951.85194797034</v>
      </c>
      <c r="L40" s="21">
        <f t="shared" si="40"/>
        <v>712793.29701784032</v>
      </c>
      <c r="M40" s="21">
        <f t="shared" si="40"/>
        <v>756940.25136319012</v>
      </c>
      <c r="N40" s="21">
        <f t="shared" si="40"/>
        <v>810090.64509957004</v>
      </c>
      <c r="O40" s="21">
        <f t="shared" si="40"/>
        <v>808750.30924034968</v>
      </c>
      <c r="P40" s="21">
        <f t="shared" ref="P40:V40" si="41">+P43+P44+P45+P46+P50</f>
        <v>918688.33957140055</v>
      </c>
      <c r="Q40" s="21">
        <f t="shared" si="41"/>
        <v>806232.26208715059</v>
      </c>
      <c r="R40" s="21">
        <f t="shared" si="41"/>
        <v>1036168.3808948293</v>
      </c>
      <c r="S40" s="21">
        <f t="shared" si="41"/>
        <v>930279.82015861943</v>
      </c>
      <c r="T40" s="21">
        <f t="shared" si="41"/>
        <v>990507.78083324037</v>
      </c>
      <c r="U40" s="21">
        <f t="shared" si="41"/>
        <v>984337.03939275979</v>
      </c>
      <c r="V40" s="21">
        <f t="shared" si="41"/>
        <v>947424.04952304112</v>
      </c>
      <c r="W40" s="57">
        <f t="shared" si="7"/>
        <v>-4.3405322873627639E-2</v>
      </c>
      <c r="X40" s="57">
        <f t="shared" ref="X40:AO40" si="42">+E40/D40-1</f>
        <v>0.27842091314376338</v>
      </c>
      <c r="Y40" s="57">
        <f t="shared" si="42"/>
        <v>0.36229020413873392</v>
      </c>
      <c r="Z40" s="57">
        <f t="shared" si="42"/>
        <v>0.23433614148116688</v>
      </c>
      <c r="AA40" s="57">
        <f t="shared" si="42"/>
        <v>2.3972538971120283E-2</v>
      </c>
      <c r="AB40" s="57">
        <f t="shared" si="42"/>
        <v>0.1406865693022803</v>
      </c>
      <c r="AC40" s="57">
        <f t="shared" si="42"/>
        <v>0.15387553949886934</v>
      </c>
      <c r="AD40" s="57">
        <f t="shared" si="42"/>
        <v>4.9606598150346848E-2</v>
      </c>
      <c r="AE40" s="57">
        <f t="shared" si="42"/>
        <v>0.15534671752302742</v>
      </c>
      <c r="AF40" s="57">
        <f t="shared" si="42"/>
        <v>6.1935142389877074E-2</v>
      </c>
      <c r="AG40" s="57">
        <f t="shared" si="42"/>
        <v>7.0217422895215709E-2</v>
      </c>
      <c r="AH40" s="57">
        <f t="shared" si="42"/>
        <v>-1.654550472010019E-3</v>
      </c>
      <c r="AI40" s="57">
        <f t="shared" si="42"/>
        <v>0.13593568877187123</v>
      </c>
      <c r="AJ40" s="57">
        <f t="shared" si="42"/>
        <v>-0.12240938808117952</v>
      </c>
      <c r="AK40" s="57">
        <f t="shared" si="42"/>
        <v>0.28519835985281317</v>
      </c>
      <c r="AL40" s="57">
        <f t="shared" si="42"/>
        <v>-0.10219242614290647</v>
      </c>
      <c r="AM40" s="57">
        <f t="shared" si="42"/>
        <v>6.4741768411521239E-2</v>
      </c>
      <c r="AN40" s="57">
        <f t="shared" si="42"/>
        <v>-6.2298767964140689E-3</v>
      </c>
      <c r="AO40" s="57">
        <f t="shared" si="42"/>
        <v>-3.7500356475959062E-2</v>
      </c>
    </row>
    <row r="41" spans="1:44">
      <c r="C41" s="20"/>
      <c r="D41" s="2"/>
      <c r="E41" s="38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</row>
    <row r="42" spans="1:44">
      <c r="B42" s="26" t="s">
        <v>40</v>
      </c>
      <c r="C42" s="6">
        <f>SUM(C43:C44)</f>
        <v>86382.100000000064</v>
      </c>
      <c r="D42" s="6">
        <f t="shared" ref="D42:O42" si="43">SUM(D43:D44)</f>
        <v>94230.599999999875</v>
      </c>
      <c r="E42" s="39">
        <f t="shared" si="43"/>
        <v>123564.09999999999</v>
      </c>
      <c r="F42" s="6">
        <f t="shared" si="43"/>
        <v>155671.59999999977</v>
      </c>
      <c r="G42" s="6">
        <f t="shared" si="43"/>
        <v>188903.50950397018</v>
      </c>
      <c r="H42" s="6">
        <f t="shared" si="43"/>
        <v>210959.72988540007</v>
      </c>
      <c r="I42" s="6">
        <f t="shared" si="43"/>
        <v>231979.95433784981</v>
      </c>
      <c r="J42" s="6">
        <f t="shared" si="43"/>
        <v>251642.87382680038</v>
      </c>
      <c r="K42" s="6">
        <f t="shared" si="43"/>
        <v>272265.09509668022</v>
      </c>
      <c r="L42" s="6">
        <f t="shared" si="43"/>
        <v>300336.53078161064</v>
      </c>
      <c r="M42" s="6">
        <f t="shared" si="43"/>
        <v>311202.40834434994</v>
      </c>
      <c r="N42" s="6">
        <f t="shared" si="43"/>
        <v>328216.96756951988</v>
      </c>
      <c r="O42" s="6">
        <f t="shared" si="43"/>
        <v>340110.49697143986</v>
      </c>
      <c r="P42" s="6">
        <f t="shared" ref="P42:V42" si="44">SUM(P43:P44)</f>
        <v>348321.9001871004</v>
      </c>
      <c r="Q42" s="6">
        <f t="shared" si="44"/>
        <v>343122.98110507015</v>
      </c>
      <c r="R42" s="6">
        <f t="shared" si="44"/>
        <v>378920.95716076932</v>
      </c>
      <c r="S42" s="6">
        <f t="shared" si="44"/>
        <v>371724.5329757696</v>
      </c>
      <c r="T42" s="6">
        <f t="shared" si="44"/>
        <v>361064.3046102103</v>
      </c>
      <c r="U42" s="6">
        <f t="shared" si="44"/>
        <v>383798.23043006042</v>
      </c>
      <c r="V42" s="6">
        <f t="shared" si="44"/>
        <v>399445.54312266107</v>
      </c>
      <c r="W42" s="62">
        <f t="shared" si="7"/>
        <v>9.0857943949033571E-2</v>
      </c>
      <c r="X42" s="62">
        <f t="shared" ref="X42:AO48" si="45">+E42/D42-1</f>
        <v>0.31129484477441682</v>
      </c>
      <c r="Y42" s="62">
        <f t="shared" si="45"/>
        <v>0.25984489022296753</v>
      </c>
      <c r="Z42" s="62">
        <f t="shared" si="45"/>
        <v>0.21347445201289417</v>
      </c>
      <c r="AA42" s="62">
        <f t="shared" si="45"/>
        <v>0.11675918800739016</v>
      </c>
      <c r="AB42" s="62">
        <f t="shared" si="45"/>
        <v>9.9640933669514098E-2</v>
      </c>
      <c r="AC42" s="62">
        <f t="shared" si="45"/>
        <v>8.4761287004626151E-2</v>
      </c>
      <c r="AD42" s="62">
        <f t="shared" si="45"/>
        <v>8.1950348747303003E-2</v>
      </c>
      <c r="AE42" s="62">
        <f t="shared" si="45"/>
        <v>0.10310332169080416</v>
      </c>
      <c r="AF42" s="62">
        <f t="shared" si="45"/>
        <v>3.6179007377029393E-2</v>
      </c>
      <c r="AG42" s="62">
        <f t="shared" si="45"/>
        <v>5.4673610386533733E-2</v>
      </c>
      <c r="AH42" s="62">
        <f t="shared" si="45"/>
        <v>3.6236790224444482E-2</v>
      </c>
      <c r="AI42" s="62">
        <f t="shared" si="45"/>
        <v>2.414333955811454E-2</v>
      </c>
      <c r="AJ42" s="62">
        <f t="shared" si="45"/>
        <v>-1.492561644627477E-2</v>
      </c>
      <c r="AK42" s="62">
        <f t="shared" si="45"/>
        <v>0.10432987012530415</v>
      </c>
      <c r="AL42" s="62">
        <f t="shared" si="45"/>
        <v>-1.8991887487359027E-2</v>
      </c>
      <c r="AM42" s="62">
        <f t="shared" si="45"/>
        <v>-2.8677763827479663E-2</v>
      </c>
      <c r="AN42" s="62">
        <f t="shared" si="45"/>
        <v>6.296364810803623E-2</v>
      </c>
      <c r="AO42" s="62">
        <f t="shared" si="45"/>
        <v>4.0769632197280359E-2</v>
      </c>
    </row>
    <row r="43" spans="1:44">
      <c r="B43" s="26" t="s">
        <v>2</v>
      </c>
      <c r="C43" s="51">
        <v>78081.000000000058</v>
      </c>
      <c r="D43" s="2">
        <v>84596.499999999869</v>
      </c>
      <c r="E43" s="41">
        <v>107895.9</v>
      </c>
      <c r="F43" s="28">
        <v>139171.89999999979</v>
      </c>
      <c r="G43" s="28">
        <v>168388.08214004015</v>
      </c>
      <c r="H43" s="28">
        <v>187497.17505188004</v>
      </c>
      <c r="I43" s="28">
        <v>203424.08908254982</v>
      </c>
      <c r="J43" s="28">
        <v>224041.32279817038</v>
      </c>
      <c r="K43" s="28">
        <v>245303.22686953016</v>
      </c>
      <c r="L43" s="28">
        <v>260104.11459257055</v>
      </c>
      <c r="M43" s="28">
        <v>267892.14735757001</v>
      </c>
      <c r="N43" s="28">
        <v>283239.04477357987</v>
      </c>
      <c r="O43" s="28">
        <v>298305.03788615984</v>
      </c>
      <c r="P43" s="28">
        <v>309673.56882598036</v>
      </c>
      <c r="Q43" s="28">
        <v>305416.21357830008</v>
      </c>
      <c r="R43" s="28">
        <v>320139.7879876392</v>
      </c>
      <c r="S43" s="28">
        <v>324937.10357287945</v>
      </c>
      <c r="T43" s="28">
        <v>325118.57357494027</v>
      </c>
      <c r="U43" s="28">
        <v>347543.55141246034</v>
      </c>
      <c r="V43" s="28">
        <v>355855.84441581101</v>
      </c>
      <c r="W43" s="58">
        <f t="shared" si="7"/>
        <v>8.3445396447276554E-2</v>
      </c>
      <c r="X43" s="58">
        <f t="shared" si="45"/>
        <v>0.27541801374761565</v>
      </c>
      <c r="Y43" s="58">
        <f t="shared" si="45"/>
        <v>0.28987199698968902</v>
      </c>
      <c r="Z43" s="58">
        <f t="shared" si="45"/>
        <v>0.20992874380561299</v>
      </c>
      <c r="AA43" s="58">
        <f t="shared" si="45"/>
        <v>0.11348245474966445</v>
      </c>
      <c r="AB43" s="58">
        <f t="shared" si="45"/>
        <v>8.4944821308709617E-2</v>
      </c>
      <c r="AC43" s="58">
        <f t="shared" si="45"/>
        <v>0.10135099441076556</v>
      </c>
      <c r="AD43" s="58">
        <f t="shared" si="45"/>
        <v>9.4901707443111993E-2</v>
      </c>
      <c r="AE43" s="58">
        <f t="shared" si="45"/>
        <v>6.0337109755643548E-2</v>
      </c>
      <c r="AF43" s="58">
        <f t="shared" si="45"/>
        <v>2.9941982183552485E-2</v>
      </c>
      <c r="AG43" s="58">
        <f t="shared" si="45"/>
        <v>5.728759714455367E-2</v>
      </c>
      <c r="AH43" s="58">
        <f t="shared" si="45"/>
        <v>5.3191794671612724E-2</v>
      </c>
      <c r="AI43" s="58">
        <f t="shared" si="45"/>
        <v>3.811042220533678E-2</v>
      </c>
      <c r="AJ43" s="58">
        <f t="shared" si="45"/>
        <v>-1.374788059510712E-2</v>
      </c>
      <c r="AK43" s="58">
        <f t="shared" si="45"/>
        <v>4.8208227837139406E-2</v>
      </c>
      <c r="AL43" s="58">
        <f t="shared" si="45"/>
        <v>1.4985065166050138E-2</v>
      </c>
      <c r="AM43" s="58">
        <f t="shared" si="45"/>
        <v>5.5847731781155652E-4</v>
      </c>
      <c r="AN43" s="58">
        <f t="shared" si="45"/>
        <v>6.8974766931767073E-2</v>
      </c>
      <c r="AO43" s="58">
        <f t="shared" si="45"/>
        <v>2.3917270136558422E-2</v>
      </c>
    </row>
    <row r="44" spans="1:44" ht="14.25">
      <c r="B44" s="121" t="s">
        <v>86</v>
      </c>
      <c r="C44" s="51">
        <v>8301.1000000000058</v>
      </c>
      <c r="D44" s="2">
        <v>9634.1</v>
      </c>
      <c r="E44" s="38">
        <v>15668.2</v>
      </c>
      <c r="F44" s="2">
        <v>16499.69999999999</v>
      </c>
      <c r="G44" s="2">
        <v>20515.427363930037</v>
      </c>
      <c r="H44" s="2">
        <v>23462.554833520022</v>
      </c>
      <c r="I44" s="2">
        <v>28555.865255299981</v>
      </c>
      <c r="J44" s="2">
        <v>27601.55102862999</v>
      </c>
      <c r="K44" s="2">
        <v>26961.868227150029</v>
      </c>
      <c r="L44" s="2">
        <v>40232.416189040057</v>
      </c>
      <c r="M44" s="2">
        <v>43310.26098677994</v>
      </c>
      <c r="N44" s="2">
        <v>44977.922795940023</v>
      </c>
      <c r="O44" s="2">
        <v>41805.459085280017</v>
      </c>
      <c r="P44" s="2">
        <v>38648.331361120014</v>
      </c>
      <c r="Q44" s="2">
        <v>37706.767526770076</v>
      </c>
      <c r="R44" s="2">
        <v>58781.169173130118</v>
      </c>
      <c r="S44" s="2">
        <v>46787.42940289012</v>
      </c>
      <c r="T44" s="2">
        <v>35945.731035270022</v>
      </c>
      <c r="U44" s="2">
        <v>36254.679017600065</v>
      </c>
      <c r="V44" s="2">
        <v>43589.69870685006</v>
      </c>
      <c r="W44" s="58">
        <f t="shared" si="7"/>
        <v>0.16058112780233857</v>
      </c>
      <c r="X44" s="58">
        <f t="shared" si="45"/>
        <v>0.62632731651114271</v>
      </c>
      <c r="Y44" s="58">
        <f t="shared" si="45"/>
        <v>5.3069274071047667E-2</v>
      </c>
      <c r="Z44" s="58">
        <f t="shared" si="45"/>
        <v>0.24338184112014449</v>
      </c>
      <c r="AA44" s="58">
        <f t="shared" si="45"/>
        <v>0.14365420799235151</v>
      </c>
      <c r="AB44" s="58">
        <f t="shared" si="45"/>
        <v>0.21708251543448065</v>
      </c>
      <c r="AC44" s="58">
        <f t="shared" si="45"/>
        <v>-3.3419201909592577E-2</v>
      </c>
      <c r="AD44" s="58">
        <f t="shared" si="45"/>
        <v>-2.317561070450147E-2</v>
      </c>
      <c r="AE44" s="58">
        <f t="shared" si="45"/>
        <v>0.49219690008450034</v>
      </c>
      <c r="AF44" s="58">
        <f t="shared" si="45"/>
        <v>7.6501614600475776E-2</v>
      </c>
      <c r="AG44" s="58">
        <f t="shared" si="45"/>
        <v>3.8505004845598156E-2</v>
      </c>
      <c r="AH44" s="58">
        <f t="shared" si="45"/>
        <v>-7.0533797771256124E-2</v>
      </c>
      <c r="AI44" s="58">
        <f t="shared" si="45"/>
        <v>-7.5519508534033775E-2</v>
      </c>
      <c r="AJ44" s="58">
        <f t="shared" si="45"/>
        <v>-2.4362341172047164E-2</v>
      </c>
      <c r="AK44" s="58">
        <f t="shared" si="45"/>
        <v>0.558902367629317</v>
      </c>
      <c r="AL44" s="58">
        <f t="shared" si="45"/>
        <v>-0.20404051057430383</v>
      </c>
      <c r="AM44" s="58">
        <f t="shared" si="45"/>
        <v>-0.23172246276369246</v>
      </c>
      <c r="AN44" s="58">
        <f t="shared" si="45"/>
        <v>8.594844879546315E-3</v>
      </c>
      <c r="AO44" s="58">
        <f t="shared" si="45"/>
        <v>0.20231925610730594</v>
      </c>
    </row>
    <row r="45" spans="1:44" ht="14.25">
      <c r="B45" s="47" t="s">
        <v>87</v>
      </c>
      <c r="C45" s="51">
        <v>13993.3</v>
      </c>
      <c r="D45" s="2">
        <v>15691.5</v>
      </c>
      <c r="E45" s="38">
        <v>20285.8</v>
      </c>
      <c r="F45" s="2">
        <v>21687.999999999996</v>
      </c>
      <c r="G45" s="2">
        <v>24035.775064549976</v>
      </c>
      <c r="H45" s="2">
        <v>29122.53774035001</v>
      </c>
      <c r="I45" s="2">
        <v>28598.002895419988</v>
      </c>
      <c r="J45" s="2">
        <v>31762.338239640019</v>
      </c>
      <c r="K45" s="2">
        <v>35257.519139310025</v>
      </c>
      <c r="L45" s="2">
        <v>40700.219183130001</v>
      </c>
      <c r="M45" s="2">
        <v>40846.249027020101</v>
      </c>
      <c r="N45" s="2">
        <v>46138.34266191005</v>
      </c>
      <c r="O45" s="2">
        <v>50244.118057209984</v>
      </c>
      <c r="P45" s="2">
        <v>47218.572115370014</v>
      </c>
      <c r="Q45" s="2">
        <v>47598.125534109924</v>
      </c>
      <c r="R45" s="2">
        <v>84340.728978050101</v>
      </c>
      <c r="S45" s="2">
        <v>80477.492853560063</v>
      </c>
      <c r="T45" s="2">
        <v>63783.699599689986</v>
      </c>
      <c r="U45" s="2">
        <v>76313.511532529839</v>
      </c>
      <c r="V45" s="2">
        <v>89585.421865669996</v>
      </c>
      <c r="W45" s="58">
        <f t="shared" si="7"/>
        <v>0.12135807850900071</v>
      </c>
      <c r="X45" s="58">
        <f t="shared" si="45"/>
        <v>0.29278908963451555</v>
      </c>
      <c r="Y45" s="58">
        <f t="shared" si="45"/>
        <v>6.9122243145451456E-2</v>
      </c>
      <c r="Z45" s="58">
        <f t="shared" si="45"/>
        <v>0.10825226229020557</v>
      </c>
      <c r="AA45" s="58">
        <f t="shared" si="45"/>
        <v>0.21163297884670373</v>
      </c>
      <c r="AB45" s="58">
        <f t="shared" si="45"/>
        <v>-1.80113027788531E-2</v>
      </c>
      <c r="AC45" s="58">
        <f t="shared" si="45"/>
        <v>0.11064882242972307</v>
      </c>
      <c r="AD45" s="58">
        <f t="shared" si="45"/>
        <v>0.11004167493273376</v>
      </c>
      <c r="AE45" s="58">
        <f t="shared" si="45"/>
        <v>0.15436990964437114</v>
      </c>
      <c r="AF45" s="58">
        <f t="shared" si="45"/>
        <v>3.5879375300915672E-3</v>
      </c>
      <c r="AG45" s="58">
        <f t="shared" si="45"/>
        <v>0.12956131250605618</v>
      </c>
      <c r="AH45" s="58">
        <f t="shared" si="45"/>
        <v>8.8988358888094421E-2</v>
      </c>
      <c r="AI45" s="58">
        <f t="shared" si="45"/>
        <v>-6.021691809566565E-2</v>
      </c>
      <c r="AJ45" s="58">
        <f t="shared" si="45"/>
        <v>8.038223134162914E-3</v>
      </c>
      <c r="AK45" s="58">
        <f t="shared" si="45"/>
        <v>0.77193383209197131</v>
      </c>
      <c r="AL45" s="58">
        <f t="shared" si="45"/>
        <v>-4.5805107108991883E-2</v>
      </c>
      <c r="AM45" s="58">
        <f t="shared" si="45"/>
        <v>-0.20743431066182372</v>
      </c>
      <c r="AN45" s="58">
        <f t="shared" si="45"/>
        <v>0.19644222601507355</v>
      </c>
      <c r="AO45" s="58">
        <f t="shared" si="45"/>
        <v>0.17391298168061353</v>
      </c>
    </row>
    <row r="46" spans="1:44">
      <c r="B46" s="1" t="s">
        <v>16</v>
      </c>
      <c r="C46" s="6">
        <f>+C47+C48</f>
        <v>13740.9</v>
      </c>
      <c r="D46" s="6">
        <f t="shared" ref="D46:O46" si="46">+D47+D48</f>
        <v>11004.599999999988</v>
      </c>
      <c r="E46" s="39">
        <f t="shared" si="46"/>
        <v>11525.800000000043</v>
      </c>
      <c r="F46" s="6">
        <f t="shared" si="46"/>
        <v>23436.799999999988</v>
      </c>
      <c r="G46" s="6">
        <f t="shared" si="46"/>
        <v>24494.197368769976</v>
      </c>
      <c r="H46" s="6">
        <f t="shared" si="46"/>
        <v>45562.347911629942</v>
      </c>
      <c r="I46" s="6">
        <f t="shared" si="46"/>
        <v>48276.738545000073</v>
      </c>
      <c r="J46" s="6">
        <f t="shared" si="46"/>
        <v>94097.154746889893</v>
      </c>
      <c r="K46" s="6">
        <f t="shared" si="46"/>
        <v>105446.85666614</v>
      </c>
      <c r="L46" s="6">
        <f t="shared" si="46"/>
        <v>114210.02594834981</v>
      </c>
      <c r="M46" s="6">
        <f t="shared" si="46"/>
        <v>130541.19758963998</v>
      </c>
      <c r="N46" s="6">
        <f t="shared" si="46"/>
        <v>103183.45883952007</v>
      </c>
      <c r="O46" s="6">
        <f t="shared" si="46"/>
        <v>108299.34662485012</v>
      </c>
      <c r="P46" s="6">
        <f t="shared" ref="P46:V46" si="47">+P47+P48</f>
        <v>144371.10730242953</v>
      </c>
      <c r="Q46" s="6">
        <f t="shared" si="47"/>
        <v>142548.76274591021</v>
      </c>
      <c r="R46" s="6">
        <f t="shared" si="47"/>
        <v>175870.42184997001</v>
      </c>
      <c r="S46" s="6">
        <f t="shared" si="47"/>
        <v>157175.20978776977</v>
      </c>
      <c r="T46" s="6">
        <f t="shared" si="47"/>
        <v>194572.33761271997</v>
      </c>
      <c r="U46" s="6">
        <f t="shared" si="47"/>
        <v>188144.91989585993</v>
      </c>
      <c r="V46" s="6">
        <f t="shared" si="47"/>
        <v>179749.56133250977</v>
      </c>
      <c r="W46" s="62">
        <f t="shared" si="7"/>
        <v>-0.19913542781040627</v>
      </c>
      <c r="X46" s="62">
        <f t="shared" si="45"/>
        <v>4.7362012249428043E-2</v>
      </c>
      <c r="Y46" s="62">
        <f t="shared" si="45"/>
        <v>1.033420673619176</v>
      </c>
      <c r="Z46" s="62">
        <f t="shared" si="45"/>
        <v>4.5116968560980464E-2</v>
      </c>
      <c r="AA46" s="62">
        <f t="shared" si="45"/>
        <v>0.86012822652118381</v>
      </c>
      <c r="AB46" s="62">
        <f t="shared" si="45"/>
        <v>5.9575301927697E-2</v>
      </c>
      <c r="AC46" s="62">
        <f t="shared" si="45"/>
        <v>0.94911996093479578</v>
      </c>
      <c r="AD46" s="62">
        <f t="shared" si="45"/>
        <v>0.12061684489588931</v>
      </c>
      <c r="AE46" s="62">
        <f t="shared" si="45"/>
        <v>8.3105078323531867E-2</v>
      </c>
      <c r="AF46" s="62">
        <f t="shared" si="45"/>
        <v>0.14299245189451026</v>
      </c>
      <c r="AG46" s="62">
        <f t="shared" si="45"/>
        <v>-0.20957168507155688</v>
      </c>
      <c r="AH46" s="62">
        <f t="shared" si="45"/>
        <v>4.9580502949476912E-2</v>
      </c>
      <c r="AI46" s="62">
        <f t="shared" si="45"/>
        <v>0.33307459187664645</v>
      </c>
      <c r="AJ46" s="62">
        <f t="shared" si="45"/>
        <v>-1.2622640295345655E-2</v>
      </c>
      <c r="AK46" s="62">
        <f t="shared" si="45"/>
        <v>0.23375621409955594</v>
      </c>
      <c r="AL46" s="62">
        <f t="shared" si="45"/>
        <v>-0.10630105884517971</v>
      </c>
      <c r="AM46" s="62">
        <f t="shared" si="45"/>
        <v>0.2379327368192905</v>
      </c>
      <c r="AN46" s="62">
        <f t="shared" si="45"/>
        <v>-3.3033563741487693E-2</v>
      </c>
      <c r="AO46" s="62">
        <f t="shared" si="45"/>
        <v>-4.4621765860045959E-2</v>
      </c>
    </row>
    <row r="47" spans="1:44">
      <c r="B47" s="1" t="s">
        <v>3</v>
      </c>
      <c r="C47" s="51">
        <v>13259.9</v>
      </c>
      <c r="D47" s="29">
        <v>10569.9</v>
      </c>
      <c r="E47" s="38">
        <v>9456.1000000000204</v>
      </c>
      <c r="F47" s="2">
        <v>23000.099999999991</v>
      </c>
      <c r="G47" s="2">
        <v>24163.765168239977</v>
      </c>
      <c r="H47" s="2">
        <v>45249.323925519959</v>
      </c>
      <c r="I47" s="2">
        <v>47982.90296581007</v>
      </c>
      <c r="J47" s="2">
        <v>93793.874692769896</v>
      </c>
      <c r="K47" s="2">
        <v>105035.82142638</v>
      </c>
      <c r="L47" s="2">
        <v>111832.51240122977</v>
      </c>
      <c r="M47" s="2">
        <v>129867.13000670999</v>
      </c>
      <c r="N47" s="2">
        <v>102475.09617239005</v>
      </c>
      <c r="O47" s="2">
        <v>107281.12307840011</v>
      </c>
      <c r="P47" s="2">
        <v>143078.72994637955</v>
      </c>
      <c r="Q47" s="2">
        <v>141007.91860361019</v>
      </c>
      <c r="R47" s="2">
        <v>174864.72895405002</v>
      </c>
      <c r="S47" s="2">
        <v>144016.31712288983</v>
      </c>
      <c r="T47" s="2">
        <v>175646.93173628993</v>
      </c>
      <c r="U47" s="2">
        <v>168710.33581114997</v>
      </c>
      <c r="V47" s="2">
        <v>163171.72371216986</v>
      </c>
      <c r="W47" s="58">
        <f t="shared" si="7"/>
        <v>-0.20286729160853401</v>
      </c>
      <c r="X47" s="58">
        <f t="shared" si="45"/>
        <v>-0.10537469607091643</v>
      </c>
      <c r="Y47" s="58">
        <f t="shared" si="45"/>
        <v>1.4323029578790347</v>
      </c>
      <c r="Z47" s="58">
        <f t="shared" si="45"/>
        <v>5.0593917776009079E-2</v>
      </c>
      <c r="AA47" s="58">
        <f t="shared" si="45"/>
        <v>0.87261064699445567</v>
      </c>
      <c r="AB47" s="58">
        <f t="shared" si="45"/>
        <v>6.0411489126104057E-2</v>
      </c>
      <c r="AC47" s="58">
        <f t="shared" si="45"/>
        <v>0.9547353097748621</v>
      </c>
      <c r="AD47" s="58">
        <f t="shared" si="45"/>
        <v>0.11985800533813218</v>
      </c>
      <c r="AE47" s="58">
        <f t="shared" si="45"/>
        <v>6.4708314578313608E-2</v>
      </c>
      <c r="AF47" s="58">
        <f t="shared" si="45"/>
        <v>0.16126453048623368</v>
      </c>
      <c r="AG47" s="58">
        <f t="shared" si="45"/>
        <v>-0.21092353263604613</v>
      </c>
      <c r="AH47" s="58">
        <f t="shared" si="45"/>
        <v>4.6899462264714975E-2</v>
      </c>
      <c r="AI47" s="58">
        <f t="shared" si="45"/>
        <v>0.333680388877164</v>
      </c>
      <c r="AJ47" s="58">
        <f t="shared" si="45"/>
        <v>-1.4473229833291246E-2</v>
      </c>
      <c r="AK47" s="58">
        <f t="shared" si="45"/>
        <v>0.24010573793103984</v>
      </c>
      <c r="AL47" s="58">
        <f t="shared" si="45"/>
        <v>-0.17641300230000279</v>
      </c>
      <c r="AM47" s="58">
        <f t="shared" si="45"/>
        <v>0.21963215866997587</v>
      </c>
      <c r="AN47" s="58">
        <f t="shared" si="45"/>
        <v>-3.9491699949272818E-2</v>
      </c>
      <c r="AO47" s="58">
        <f t="shared" si="45"/>
        <v>-3.2829121418973983E-2</v>
      </c>
    </row>
    <row r="48" spans="1:44">
      <c r="B48" s="1" t="s">
        <v>4</v>
      </c>
      <c r="C48" s="51">
        <v>481</v>
      </c>
      <c r="D48" s="29">
        <v>434.69999999998799</v>
      </c>
      <c r="E48" s="38">
        <v>2069.7000000000226</v>
      </c>
      <c r="F48" s="2">
        <v>436.69999999999709</v>
      </c>
      <c r="G48" s="2">
        <v>330.43220052999823</v>
      </c>
      <c r="H48" s="2">
        <v>313.02398610998716</v>
      </c>
      <c r="I48" s="2">
        <v>293.83557919000305</v>
      </c>
      <c r="J48" s="2">
        <v>303.28005411999766</v>
      </c>
      <c r="K48" s="2">
        <v>411.03523975998542</v>
      </c>
      <c r="L48" s="2">
        <v>2377.5135471200374</v>
      </c>
      <c r="M48" s="2">
        <v>674.06758292997984</v>
      </c>
      <c r="N48" s="2">
        <v>708.36266713001896</v>
      </c>
      <c r="O48" s="2">
        <v>1018.2235464500081</v>
      </c>
      <c r="P48" s="2">
        <v>1292.3773560499721</v>
      </c>
      <c r="Q48" s="2">
        <v>1540.8441423000331</v>
      </c>
      <c r="R48" s="2">
        <v>1005.692895919994</v>
      </c>
      <c r="S48" s="2">
        <v>13158.892664879946</v>
      </c>
      <c r="T48" s="2">
        <v>18925.405876430043</v>
      </c>
      <c r="U48" s="2">
        <v>19434.584084709957</v>
      </c>
      <c r="V48" s="2">
        <v>16577.837620339902</v>
      </c>
      <c r="W48" s="58">
        <f t="shared" si="7"/>
        <v>-9.6257796257821271E-2</v>
      </c>
      <c r="X48" s="58">
        <f t="shared" si="45"/>
        <v>3.7612146307800316</v>
      </c>
      <c r="Y48" s="58">
        <f t="shared" si="45"/>
        <v>-0.78900323718413667</v>
      </c>
      <c r="Z48" s="58">
        <f t="shared" si="45"/>
        <v>-0.24334279704602602</v>
      </c>
      <c r="AA48" s="58">
        <f t="shared" si="45"/>
        <v>-5.2683165841855284E-2</v>
      </c>
      <c r="AB48" s="58">
        <f t="shared" si="45"/>
        <v>-6.1300116832714191E-2</v>
      </c>
      <c r="AC48" s="58">
        <f t="shared" si="45"/>
        <v>3.2142039966805758E-2</v>
      </c>
      <c r="AD48" s="58">
        <f t="shared" si="45"/>
        <v>0.35529928254811205</v>
      </c>
      <c r="AE48" s="58">
        <f t="shared" si="45"/>
        <v>4.7842085474431144</v>
      </c>
      <c r="AF48" s="58">
        <f t="shared" si="45"/>
        <v>-0.71648212741142925</v>
      </c>
      <c r="AG48" s="58">
        <f t="shared" si="45"/>
        <v>5.0877812653396193E-2</v>
      </c>
      <c r="AH48" s="58">
        <f t="shared" si="45"/>
        <v>0.43743253801814852</v>
      </c>
      <c r="AI48" s="58">
        <f t="shared" si="45"/>
        <v>0.26924717126783149</v>
      </c>
      <c r="AJ48" s="58">
        <f t="shared" si="45"/>
        <v>0.19225560173034606</v>
      </c>
      <c r="AK48" s="58">
        <f t="shared" si="45"/>
        <v>-0.34731043308586262</v>
      </c>
      <c r="AL48" s="58">
        <f t="shared" si="45"/>
        <v>12.084404511819059</v>
      </c>
      <c r="AM48" s="58">
        <f t="shared" si="45"/>
        <v>0.43822176822981995</v>
      </c>
      <c r="AN48" s="58">
        <f t="shared" si="45"/>
        <v>2.6904480231731975E-2</v>
      </c>
      <c r="AO48" s="58">
        <f t="shared" si="45"/>
        <v>-0.14699293033070793</v>
      </c>
    </row>
    <row r="49" spans="1:43">
      <c r="C49" s="51"/>
      <c r="D49" s="2"/>
      <c r="E49" s="3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</row>
    <row r="50" spans="1:43">
      <c r="B50" s="47" t="s">
        <v>85</v>
      </c>
      <c r="C50" s="6">
        <f>+C51+C52+C53+C54</f>
        <v>97966.871675550021</v>
      </c>
      <c r="D50" s="6">
        <f t="shared" ref="D50:O50" si="48">+D51+D52+D53+D54</f>
        <v>81950.93313290998</v>
      </c>
      <c r="E50" s="39">
        <f t="shared" si="48"/>
        <v>103987.30900621998</v>
      </c>
      <c r="F50" s="6">
        <f t="shared" si="48"/>
        <v>152531.28648512001</v>
      </c>
      <c r="G50" s="6">
        <f t="shared" si="48"/>
        <v>198691.65127722002</v>
      </c>
      <c r="H50" s="6">
        <f t="shared" si="48"/>
        <v>160935.54442940006</v>
      </c>
      <c r="I50" s="6">
        <f t="shared" si="48"/>
        <v>200553.29481270001</v>
      </c>
      <c r="J50" s="6">
        <f t="shared" si="48"/>
        <v>210291.05315486001</v>
      </c>
      <c r="K50" s="6">
        <f t="shared" si="48"/>
        <v>203982.38104584007</v>
      </c>
      <c r="L50" s="6">
        <f t="shared" si="48"/>
        <v>257546.52110474987</v>
      </c>
      <c r="M50" s="6">
        <f t="shared" si="48"/>
        <v>274350.39640218002</v>
      </c>
      <c r="N50" s="6">
        <f t="shared" si="48"/>
        <v>332551.87602862011</v>
      </c>
      <c r="O50" s="6">
        <f t="shared" si="48"/>
        <v>310096.3475868497</v>
      </c>
      <c r="P50" s="6">
        <f t="shared" ref="P50:V50" si="49">+P51+P52+P53+P54</f>
        <v>378776.75996650057</v>
      </c>
      <c r="Q50" s="6">
        <f t="shared" si="49"/>
        <v>272962.39270206029</v>
      </c>
      <c r="R50" s="6">
        <f t="shared" si="49"/>
        <v>397036.27290603984</v>
      </c>
      <c r="S50" s="6">
        <f t="shared" si="49"/>
        <v>320902.58454151993</v>
      </c>
      <c r="T50" s="6">
        <f t="shared" si="49"/>
        <v>371087.43901062012</v>
      </c>
      <c r="U50" s="6">
        <f t="shared" si="49"/>
        <v>336080.37753430963</v>
      </c>
      <c r="V50" s="6">
        <f t="shared" si="49"/>
        <v>278643.52320220036</v>
      </c>
      <c r="W50" s="62">
        <f t="shared" si="7"/>
        <v>-0.16348320885127543</v>
      </c>
      <c r="X50" s="62">
        <f t="shared" ref="X50:AO54" si="50">+E50/D50-1</f>
        <v>0.26889719287968172</v>
      </c>
      <c r="Y50" s="62">
        <f t="shared" si="50"/>
        <v>0.46682598042801926</v>
      </c>
      <c r="Z50" s="62">
        <f t="shared" si="50"/>
        <v>0.30262883016202147</v>
      </c>
      <c r="AA50" s="62">
        <f t="shared" si="50"/>
        <v>-0.19002362004199969</v>
      </c>
      <c r="AB50" s="62">
        <f t="shared" si="50"/>
        <v>0.24617153733045982</v>
      </c>
      <c r="AC50" s="62">
        <f t="shared" si="50"/>
        <v>4.8554467037074778E-2</v>
      </c>
      <c r="AD50" s="62">
        <f t="shared" si="50"/>
        <v>-2.9999717127167536E-2</v>
      </c>
      <c r="AE50" s="62">
        <f t="shared" si="50"/>
        <v>0.26259199340786488</v>
      </c>
      <c r="AF50" s="62">
        <f t="shared" si="50"/>
        <v>6.5245980513926716E-2</v>
      </c>
      <c r="AG50" s="62">
        <f t="shared" si="50"/>
        <v>0.21214286689464257</v>
      </c>
      <c r="AH50" s="62">
        <f t="shared" si="50"/>
        <v>-6.7524888778067949E-2</v>
      </c>
      <c r="AI50" s="62">
        <f t="shared" si="50"/>
        <v>0.22148088139095323</v>
      </c>
      <c r="AJ50" s="62">
        <f t="shared" si="50"/>
        <v>-0.27935812976962637</v>
      </c>
      <c r="AK50" s="62">
        <f t="shared" si="50"/>
        <v>0.45454569391691546</v>
      </c>
      <c r="AL50" s="62">
        <f t="shared" si="50"/>
        <v>-0.1917549945934971</v>
      </c>
      <c r="AM50" s="62">
        <f t="shared" si="50"/>
        <v>0.15638656990189181</v>
      </c>
      <c r="AN50" s="62">
        <f t="shared" si="50"/>
        <v>-9.4336422622239735E-2</v>
      </c>
      <c r="AO50" s="62">
        <f t="shared" si="50"/>
        <v>-0.17090213583280589</v>
      </c>
    </row>
    <row r="51" spans="1:43">
      <c r="B51" s="1" t="s">
        <v>6</v>
      </c>
      <c r="C51" s="51">
        <v>56705.971675550027</v>
      </c>
      <c r="D51" s="2">
        <v>50180.633132909985</v>
      </c>
      <c r="E51" s="38">
        <v>55706.210835599995</v>
      </c>
      <c r="F51" s="2">
        <v>86612.265406730003</v>
      </c>
      <c r="G51" s="2">
        <v>75504.819770799993</v>
      </c>
      <c r="H51" s="2">
        <v>81206.99937568001</v>
      </c>
      <c r="I51" s="2">
        <v>86990.324328119998</v>
      </c>
      <c r="J51" s="2">
        <v>112652.33286977001</v>
      </c>
      <c r="K51" s="2">
        <v>103220.68429553008</v>
      </c>
      <c r="L51" s="2">
        <v>113641.14916335991</v>
      </c>
      <c r="M51" s="2">
        <v>115518.55323859994</v>
      </c>
      <c r="N51" s="2">
        <v>121063.53599378995</v>
      </c>
      <c r="O51" s="2">
        <v>134100.36979887972</v>
      </c>
      <c r="P51" s="2">
        <v>131225.12870390018</v>
      </c>
      <c r="Q51" s="2">
        <v>139502.8337203401</v>
      </c>
      <c r="R51" s="2">
        <v>154146.41129373008</v>
      </c>
      <c r="S51" s="2">
        <v>162233.35103869974</v>
      </c>
      <c r="T51" s="2">
        <v>165962.19794341974</v>
      </c>
      <c r="U51" s="2">
        <v>159627.42639237997</v>
      </c>
      <c r="V51" s="2">
        <v>157463.61522671982</v>
      </c>
      <c r="W51" s="58">
        <f t="shared" si="7"/>
        <v>-0.11507321627386169</v>
      </c>
      <c r="X51" s="58">
        <f t="shared" si="50"/>
        <v>0.11011375022022518</v>
      </c>
      <c r="Y51" s="58">
        <f t="shared" si="50"/>
        <v>0.55480446628006819</v>
      </c>
      <c r="Z51" s="58">
        <f t="shared" si="50"/>
        <v>-0.12824333347903549</v>
      </c>
      <c r="AA51" s="58">
        <f t="shared" si="50"/>
        <v>7.5520736585947379E-2</v>
      </c>
      <c r="AB51" s="58">
        <f t="shared" si="50"/>
        <v>7.1217074844560635E-2</v>
      </c>
      <c r="AC51" s="58">
        <f t="shared" si="50"/>
        <v>0.29499842355863759</v>
      </c>
      <c r="AD51" s="58">
        <f t="shared" si="50"/>
        <v>-8.3723508727895024E-2</v>
      </c>
      <c r="AE51" s="58">
        <f t="shared" si="50"/>
        <v>0.10095326279755223</v>
      </c>
      <c r="AF51" s="58">
        <f t="shared" si="50"/>
        <v>1.6520460141961957E-2</v>
      </c>
      <c r="AG51" s="58">
        <f t="shared" si="50"/>
        <v>4.8000798137914913E-2</v>
      </c>
      <c r="AH51" s="58">
        <f t="shared" si="50"/>
        <v>0.10768588326842288</v>
      </c>
      <c r="AI51" s="58">
        <f t="shared" si="50"/>
        <v>-2.1440963207571717E-2</v>
      </c>
      <c r="AJ51" s="58">
        <f t="shared" si="50"/>
        <v>6.308018211296984E-2</v>
      </c>
      <c r="AK51" s="58">
        <f t="shared" si="50"/>
        <v>0.10496974995322184</v>
      </c>
      <c r="AL51" s="58">
        <f t="shared" si="50"/>
        <v>5.2462718250117168E-2</v>
      </c>
      <c r="AM51" s="58">
        <f t="shared" si="50"/>
        <v>2.2984465776278773E-2</v>
      </c>
      <c r="AN51" s="58">
        <f t="shared" si="50"/>
        <v>-3.8169966592027427E-2</v>
      </c>
      <c r="AO51" s="58">
        <f t="shared" si="50"/>
        <v>-1.3555384651389946E-2</v>
      </c>
    </row>
    <row r="52" spans="1:43" ht="14.25">
      <c r="B52" s="47" t="s">
        <v>76</v>
      </c>
      <c r="C52" s="51">
        <v>40803.399999999994</v>
      </c>
      <c r="D52" s="2">
        <v>31103.3</v>
      </c>
      <c r="E52" s="38">
        <v>47325.798170619993</v>
      </c>
      <c r="F52" s="2">
        <v>63870.921078389998</v>
      </c>
      <c r="G52" s="2">
        <v>107337.5</v>
      </c>
      <c r="H52" s="2">
        <v>78092.765167120044</v>
      </c>
      <c r="I52" s="2">
        <v>112945.06179320002</v>
      </c>
      <c r="J52" s="2">
        <v>96786.400310459998</v>
      </c>
      <c r="K52" s="2">
        <v>98359.352752560008</v>
      </c>
      <c r="L52" s="2">
        <v>137934.98391830994</v>
      </c>
      <c r="M52" s="2">
        <v>157280.49337963006</v>
      </c>
      <c r="N52" s="2">
        <v>201967.42219552019</v>
      </c>
      <c r="O52" s="2">
        <v>175743.37483936999</v>
      </c>
      <c r="P52" s="2">
        <v>224367.1131527804</v>
      </c>
      <c r="Q52" s="2">
        <v>105243.05303329014</v>
      </c>
      <c r="R52" s="2">
        <v>197142.76136893983</v>
      </c>
      <c r="S52" s="2">
        <v>150631.55356926017</v>
      </c>
      <c r="T52" s="2">
        <v>180420.68702340036</v>
      </c>
      <c r="U52" s="2">
        <v>175091.42118854966</v>
      </c>
      <c r="V52" s="2">
        <v>121044.42564672053</v>
      </c>
      <c r="W52" s="58">
        <f t="shared" si="7"/>
        <v>-0.23772773837474315</v>
      </c>
      <c r="X52" s="58">
        <f t="shared" si="50"/>
        <v>0.5215683921198071</v>
      </c>
      <c r="Y52" s="58">
        <f t="shared" si="50"/>
        <v>0.34960050431946588</v>
      </c>
      <c r="Z52" s="58">
        <f t="shared" si="50"/>
        <v>0.68053784394721095</v>
      </c>
      <c r="AA52" s="58">
        <f t="shared" si="50"/>
        <v>-0.27245589689418848</v>
      </c>
      <c r="AB52" s="58">
        <f t="shared" si="50"/>
        <v>0.44629354014415257</v>
      </c>
      <c r="AC52" s="58">
        <f t="shared" si="50"/>
        <v>-0.14306656020363406</v>
      </c>
      <c r="AD52" s="58">
        <f t="shared" si="50"/>
        <v>1.6251791956870765E-2</v>
      </c>
      <c r="AE52" s="58">
        <f t="shared" si="50"/>
        <v>0.4023575802222823</v>
      </c>
      <c r="AF52" s="58">
        <f t="shared" si="50"/>
        <v>0.14025092773257031</v>
      </c>
      <c r="AG52" s="58">
        <f t="shared" si="50"/>
        <v>0.28412251167109881</v>
      </c>
      <c r="AH52" s="58">
        <f t="shared" si="50"/>
        <v>-0.12984295720110384</v>
      </c>
      <c r="AI52" s="58">
        <f t="shared" si="50"/>
        <v>0.27667465904676436</v>
      </c>
      <c r="AJ52" s="58">
        <f t="shared" si="50"/>
        <v>-0.53093369364864984</v>
      </c>
      <c r="AK52" s="58">
        <f t="shared" si="50"/>
        <v>0.87321400973212238</v>
      </c>
      <c r="AL52" s="58">
        <f t="shared" si="50"/>
        <v>-0.23592653099058991</v>
      </c>
      <c r="AM52" s="58">
        <f t="shared" si="50"/>
        <v>0.19776157616566836</v>
      </c>
      <c r="AN52" s="58">
        <f t="shared" si="50"/>
        <v>-2.9537997680717742E-2</v>
      </c>
      <c r="AO52" s="58">
        <f t="shared" si="50"/>
        <v>-0.30867871866564989</v>
      </c>
    </row>
    <row r="53" spans="1:43">
      <c r="B53" s="1" t="s">
        <v>8</v>
      </c>
      <c r="C53" s="51">
        <v>97.200000000000273</v>
      </c>
      <c r="D53" s="2">
        <v>127.9</v>
      </c>
      <c r="E53" s="38">
        <v>111.4</v>
      </c>
      <c r="F53" s="2">
        <v>55.200000000000045</v>
      </c>
      <c r="G53" s="2">
        <v>99.500531630000751</v>
      </c>
      <c r="H53" s="2">
        <v>699.86824102999958</v>
      </c>
      <c r="I53" s="2">
        <v>377.71597441000108</v>
      </c>
      <c r="J53" s="2">
        <v>417.94077465999999</v>
      </c>
      <c r="K53" s="2">
        <v>785.58052858000053</v>
      </c>
      <c r="L53" s="2">
        <v>462.22925307999969</v>
      </c>
      <c r="M53" s="2">
        <v>435.90978394999843</v>
      </c>
      <c r="N53" s="2">
        <v>423.3178393100045</v>
      </c>
      <c r="O53" s="2">
        <v>252.35980860000177</v>
      </c>
      <c r="P53" s="2">
        <v>327.63421820000326</v>
      </c>
      <c r="Q53" s="2">
        <v>204.01455543000077</v>
      </c>
      <c r="R53" s="2">
        <v>875.4024412400023</v>
      </c>
      <c r="S53" s="2">
        <v>978.11417675000143</v>
      </c>
      <c r="T53" s="2">
        <v>1153.2727883000002</v>
      </c>
      <c r="U53" s="2">
        <v>1355.3966973800032</v>
      </c>
      <c r="V53" s="2">
        <v>126.68141880000439</v>
      </c>
      <c r="W53" s="58">
        <f t="shared" si="7"/>
        <v>0.31584362139917332</v>
      </c>
      <c r="X53" s="58">
        <f t="shared" si="50"/>
        <v>-0.12900703674745895</v>
      </c>
      <c r="Y53" s="58">
        <f t="shared" si="50"/>
        <v>-0.50448833034111273</v>
      </c>
      <c r="Z53" s="58">
        <f t="shared" si="50"/>
        <v>0.80254586286233098</v>
      </c>
      <c r="AA53" s="58">
        <f t="shared" si="50"/>
        <v>6.0338140868684551</v>
      </c>
      <c r="AB53" s="58">
        <f t="shared" si="50"/>
        <v>-0.46030416546103792</v>
      </c>
      <c r="AC53" s="58">
        <f t="shared" si="50"/>
        <v>0.10649483467791043</v>
      </c>
      <c r="AD53" s="58">
        <f t="shared" si="50"/>
        <v>0.8796455771013969</v>
      </c>
      <c r="AE53" s="58">
        <f t="shared" si="50"/>
        <v>-0.41160805765448905</v>
      </c>
      <c r="AF53" s="58">
        <f t="shared" si="50"/>
        <v>-5.694029305723336E-2</v>
      </c>
      <c r="AG53" s="58">
        <f t="shared" si="50"/>
        <v>-2.8886584113556601E-2</v>
      </c>
      <c r="AH53" s="58">
        <f t="shared" si="50"/>
        <v>-0.40385264884810723</v>
      </c>
      <c r="AI53" s="58">
        <f t="shared" si="50"/>
        <v>0.29828208389281907</v>
      </c>
      <c r="AJ53" s="58">
        <f t="shared" si="50"/>
        <v>-0.37730998748897238</v>
      </c>
      <c r="AK53" s="58">
        <f t="shared" si="50"/>
        <v>3.2908822823691164</v>
      </c>
      <c r="AL53" s="58">
        <f t="shared" si="50"/>
        <v>0.11733087625904792</v>
      </c>
      <c r="AM53" s="58">
        <f t="shared" si="50"/>
        <v>0.17907787834340727</v>
      </c>
      <c r="AN53" s="58">
        <f t="shared" si="50"/>
        <v>0.1752611447443817</v>
      </c>
      <c r="AO53" s="58">
        <f t="shared" si="50"/>
        <v>-0.90653554118518886</v>
      </c>
    </row>
    <row r="54" spans="1:43">
      <c r="B54" s="18" t="s">
        <v>13</v>
      </c>
      <c r="C54" s="51">
        <v>360.3</v>
      </c>
      <c r="D54" s="2">
        <v>539.1</v>
      </c>
      <c r="E54" s="38">
        <v>843.9</v>
      </c>
      <c r="F54" s="2">
        <v>1992.9000000000005</v>
      </c>
      <c r="G54" s="2">
        <v>15749.83097479</v>
      </c>
      <c r="H54" s="2">
        <v>935.91164556999956</v>
      </c>
      <c r="I54" s="2">
        <v>240.19271697000008</v>
      </c>
      <c r="J54" s="2">
        <v>434.37919996999972</v>
      </c>
      <c r="K54" s="2">
        <v>1616.7634691699996</v>
      </c>
      <c r="L54" s="2">
        <f>5433.27877+74.88</f>
        <v>5508.15877</v>
      </c>
      <c r="M54" s="2">
        <v>1115.4400000000028</v>
      </c>
      <c r="N54" s="2">
        <v>9097.5999999999913</v>
      </c>
      <c r="O54" s="2">
        <v>0.24313999999867519</v>
      </c>
      <c r="P54" s="2">
        <v>22856.88389162</v>
      </c>
      <c r="Q54" s="2">
        <v>28012.491393000004</v>
      </c>
      <c r="R54" s="2">
        <v>44871.697802129987</v>
      </c>
      <c r="S54" s="2">
        <v>7059.5657568100014</v>
      </c>
      <c r="T54" s="2">
        <v>23551.281255500013</v>
      </c>
      <c r="U54" s="2">
        <v>6.1332559999995251</v>
      </c>
      <c r="V54" s="2">
        <v>8.8009099599999843</v>
      </c>
      <c r="W54" s="58">
        <f t="shared" si="7"/>
        <v>0.49625312239800179</v>
      </c>
      <c r="X54" s="58">
        <f t="shared" si="50"/>
        <v>0.56538675570395092</v>
      </c>
      <c r="Y54" s="58">
        <f t="shared" si="50"/>
        <v>1.3615357269818706</v>
      </c>
      <c r="Z54" s="58">
        <f t="shared" si="50"/>
        <v>6.9029710345677131</v>
      </c>
      <c r="AA54" s="58">
        <f t="shared" si="50"/>
        <v>-0.9405764006567392</v>
      </c>
      <c r="AB54" s="58">
        <f t="shared" si="50"/>
        <v>-0.74335962362802399</v>
      </c>
      <c r="AC54" s="58">
        <f t="shared" si="50"/>
        <v>0.80846116172728677</v>
      </c>
      <c r="AD54" s="58">
        <f t="shared" si="50"/>
        <v>2.7220094085574558</v>
      </c>
      <c r="AE54" s="58">
        <f t="shared" si="50"/>
        <v>2.4069045194518974</v>
      </c>
      <c r="AF54" s="58">
        <f t="shared" si="50"/>
        <v>-0.79749312854320598</v>
      </c>
      <c r="AG54" s="58">
        <f t="shared" si="50"/>
        <v>7.1560639747543284</v>
      </c>
      <c r="AH54" s="58">
        <f t="shared" si="50"/>
        <v>-0.99997327427013738</v>
      </c>
      <c r="AI54" s="100">
        <f>+P54/O54-1</f>
        <v>94006.090119867324</v>
      </c>
      <c r="AJ54" s="58">
        <f t="shared" si="50"/>
        <v>0.22556038372624365</v>
      </c>
      <c r="AK54" s="58">
        <f t="shared" si="50"/>
        <v>0.60184601835675711</v>
      </c>
      <c r="AL54" s="58">
        <f t="shared" si="50"/>
        <v>-0.84267219422049822</v>
      </c>
      <c r="AM54" s="58">
        <f t="shared" si="50"/>
        <v>2.3360807260391758</v>
      </c>
      <c r="AN54" s="58">
        <f t="shared" si="50"/>
        <v>-0.99973957866948038</v>
      </c>
      <c r="AO54" s="58">
        <f t="shared" si="50"/>
        <v>0.43494906457527049</v>
      </c>
      <c r="AP54" s="47"/>
    </row>
    <row r="55" spans="1:43">
      <c r="C55" s="51"/>
      <c r="D55" s="2"/>
      <c r="E55" s="38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</row>
    <row r="56" spans="1:43">
      <c r="A56" s="16"/>
      <c r="B56" s="17" t="s">
        <v>9</v>
      </c>
      <c r="C56" s="21">
        <f>+C58+C59</f>
        <v>28706.399999999994</v>
      </c>
      <c r="D56" s="21">
        <f t="shared" ref="D56:O56" si="51">+D58+D59</f>
        <v>38676</v>
      </c>
      <c r="E56" s="21">
        <f t="shared" si="51"/>
        <v>57168.899999999994</v>
      </c>
      <c r="F56" s="21">
        <f t="shared" si="51"/>
        <v>55335.17266369002</v>
      </c>
      <c r="G56" s="21">
        <f t="shared" si="51"/>
        <v>160859.24973744</v>
      </c>
      <c r="H56" s="21">
        <f t="shared" si="51"/>
        <v>60663.156784490006</v>
      </c>
      <c r="I56" s="21">
        <f t="shared" si="51"/>
        <v>49920.264864370009</v>
      </c>
      <c r="J56" s="21">
        <f t="shared" si="51"/>
        <v>111357.72445656997</v>
      </c>
      <c r="K56" s="21">
        <f t="shared" si="51"/>
        <v>96148.081202729969</v>
      </c>
      <c r="L56" s="21">
        <f t="shared" si="51"/>
        <v>130791.90317499996</v>
      </c>
      <c r="M56" s="21">
        <f t="shared" si="51"/>
        <v>214919.16550484</v>
      </c>
      <c r="N56" s="21">
        <f t="shared" si="51"/>
        <v>214269.54701752003</v>
      </c>
      <c r="O56" s="21">
        <f t="shared" si="51"/>
        <v>104423.48858327001</v>
      </c>
      <c r="P56" s="21">
        <f t="shared" ref="P56:V56" si="52">+P58+P59</f>
        <v>159651.74592223001</v>
      </c>
      <c r="Q56" s="21">
        <f t="shared" si="52"/>
        <v>73969.437885780004</v>
      </c>
      <c r="R56" s="21">
        <f t="shared" si="52"/>
        <v>113229.27947167002</v>
      </c>
      <c r="S56" s="21">
        <f t="shared" si="52"/>
        <v>130741.30643373982</v>
      </c>
      <c r="T56" s="21">
        <f t="shared" si="52"/>
        <v>130101.82393996022</v>
      </c>
      <c r="U56" s="21">
        <f t="shared" si="52"/>
        <v>114805.1028137299</v>
      </c>
      <c r="V56" s="21">
        <f t="shared" si="52"/>
        <v>111122.08842308009</v>
      </c>
      <c r="W56" s="57">
        <f t="shared" si="7"/>
        <v>0.34729537664074939</v>
      </c>
      <c r="X56" s="57">
        <f t="shared" ref="X56:AO56" si="53">+E56/D56-1</f>
        <v>0.47814923983865953</v>
      </c>
      <c r="Y56" s="57">
        <f t="shared" si="53"/>
        <v>-3.2075609926200732E-2</v>
      </c>
      <c r="Z56" s="57">
        <f t="shared" si="53"/>
        <v>1.9069982435058535</v>
      </c>
      <c r="AA56" s="57">
        <f t="shared" si="53"/>
        <v>-0.62288051894120788</v>
      </c>
      <c r="AB56" s="57">
        <f t="shared" si="53"/>
        <v>-0.17709088167443798</v>
      </c>
      <c r="AC56" s="57">
        <f t="shared" si="53"/>
        <v>1.2307118113079207</v>
      </c>
      <c r="AD56" s="57">
        <f t="shared" si="53"/>
        <v>-0.13658363915088645</v>
      </c>
      <c r="AE56" s="57">
        <f t="shared" si="53"/>
        <v>0.36031735151555289</v>
      </c>
      <c r="AF56" s="57">
        <f t="shared" si="53"/>
        <v>0.64321460493833116</v>
      </c>
      <c r="AG56" s="57">
        <f t="shared" si="53"/>
        <v>-3.0226177632600715E-3</v>
      </c>
      <c r="AH56" s="57">
        <f t="shared" si="53"/>
        <v>-0.51265361766629547</v>
      </c>
      <c r="AI56" s="57">
        <f t="shared" si="53"/>
        <v>0.5288873038839299</v>
      </c>
      <c r="AJ56" s="57">
        <f t="shared" si="53"/>
        <v>-0.53668256204468823</v>
      </c>
      <c r="AK56" s="57">
        <f t="shared" si="53"/>
        <v>0.5307576035188093</v>
      </c>
      <c r="AL56" s="57">
        <f t="shared" si="53"/>
        <v>0.15465988164705502</v>
      </c>
      <c r="AM56" s="57">
        <f t="shared" si="53"/>
        <v>-4.8912047096890676E-3</v>
      </c>
      <c r="AN56" s="57">
        <f t="shared" si="53"/>
        <v>-0.1175749936702617</v>
      </c>
      <c r="AO56" s="57">
        <f t="shared" si="53"/>
        <v>-3.2080580918301682E-2</v>
      </c>
    </row>
    <row r="57" spans="1:43">
      <c r="C57" s="51"/>
      <c r="D57" s="2"/>
      <c r="E57" s="38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</row>
    <row r="58" spans="1:43">
      <c r="B58" s="1" t="s">
        <v>12</v>
      </c>
      <c r="C58" s="51">
        <v>8526.1</v>
      </c>
      <c r="D58" s="2">
        <v>12766.7</v>
      </c>
      <c r="E58" s="38">
        <v>23393.8</v>
      </c>
      <c r="F58" s="2">
        <v>25807.400000000023</v>
      </c>
      <c r="G58" s="2">
        <v>18071.873931680024</v>
      </c>
      <c r="H58" s="2">
        <v>24395.839002099987</v>
      </c>
      <c r="I58" s="2">
        <v>14449.008009810004</v>
      </c>
      <c r="J58" s="2">
        <v>28319.368518240015</v>
      </c>
      <c r="K58" s="2">
        <v>29305.023211680014</v>
      </c>
      <c r="L58" s="2">
        <v>36510.892640610014</v>
      </c>
      <c r="M58" s="2">
        <v>39518.094589170018</v>
      </c>
      <c r="N58" s="2">
        <v>34990.041854240008</v>
      </c>
      <c r="O58" s="2">
        <v>23544.811718730005</v>
      </c>
      <c r="P58" s="2">
        <v>17528.090997570005</v>
      </c>
      <c r="Q58" s="2">
        <v>21562.470880590008</v>
      </c>
      <c r="R58" s="2">
        <v>38761.10971544998</v>
      </c>
      <c r="S58" s="2">
        <v>45956.08093786001</v>
      </c>
      <c r="T58" s="2">
        <v>65598.482039790048</v>
      </c>
      <c r="U58" s="2">
        <v>54292.102935210001</v>
      </c>
      <c r="V58" s="2">
        <v>58301.771785580058</v>
      </c>
      <c r="W58" s="58">
        <f t="shared" si="7"/>
        <v>0.49736690866867628</v>
      </c>
      <c r="X58" s="58">
        <f t="shared" ref="X58:AO63" si="54">+E58/D58-1</f>
        <v>0.8324077482826413</v>
      </c>
      <c r="Y58" s="58">
        <f t="shared" si="54"/>
        <v>0.10317263548461653</v>
      </c>
      <c r="Z58" s="58">
        <f t="shared" si="54"/>
        <v>-0.29974061967962651</v>
      </c>
      <c r="AA58" s="58">
        <f t="shared" si="54"/>
        <v>0.34993410723909713</v>
      </c>
      <c r="AB58" s="58">
        <f t="shared" si="54"/>
        <v>-0.40772653858855856</v>
      </c>
      <c r="AC58" s="58">
        <f t="shared" si="54"/>
        <v>0.95995244095739118</v>
      </c>
      <c r="AD58" s="58">
        <f t="shared" si="54"/>
        <v>3.4804967236651274E-2</v>
      </c>
      <c r="AE58" s="58">
        <f t="shared" si="54"/>
        <v>0.24589195432058131</v>
      </c>
      <c r="AF58" s="58">
        <f t="shared" si="54"/>
        <v>8.2364514561749758E-2</v>
      </c>
      <c r="AG58" s="58">
        <f t="shared" si="54"/>
        <v>-0.11458175759746592</v>
      </c>
      <c r="AH58" s="58">
        <f t="shared" si="54"/>
        <v>-0.32709964118328416</v>
      </c>
      <c r="AI58" s="58">
        <f t="shared" si="54"/>
        <v>-0.25554337800771931</v>
      </c>
      <c r="AJ58" s="58">
        <f t="shared" si="54"/>
        <v>0.23016653003337928</v>
      </c>
      <c r="AK58" s="58">
        <f t="shared" si="54"/>
        <v>0.79761911007804542</v>
      </c>
      <c r="AL58" s="58">
        <f t="shared" si="54"/>
        <v>0.18562345802865776</v>
      </c>
      <c r="AM58" s="58">
        <f t="shared" si="54"/>
        <v>0.42741680102116875</v>
      </c>
      <c r="AN58" s="58">
        <f t="shared" si="54"/>
        <v>-0.17235732829491301</v>
      </c>
      <c r="AO58" s="58">
        <f t="shared" si="54"/>
        <v>7.3853629415589817E-2</v>
      </c>
      <c r="AQ58" s="2"/>
    </row>
    <row r="59" spans="1:43">
      <c r="B59" s="1" t="s">
        <v>5</v>
      </c>
      <c r="C59" s="6">
        <f>+C60+C61+C62+C63</f>
        <v>20180.299999999996</v>
      </c>
      <c r="D59" s="6">
        <f t="shared" ref="D59:O59" si="55">+D60+D61+D62+D63</f>
        <v>25909.3</v>
      </c>
      <c r="E59" s="39">
        <f t="shared" si="55"/>
        <v>33775.1</v>
      </c>
      <c r="F59" s="6">
        <f t="shared" si="55"/>
        <v>29527.772663689997</v>
      </c>
      <c r="G59" s="6">
        <f t="shared" si="55"/>
        <v>142787.37580575998</v>
      </c>
      <c r="H59" s="6">
        <f t="shared" si="55"/>
        <v>36267.317782390019</v>
      </c>
      <c r="I59" s="6">
        <f t="shared" si="55"/>
        <v>35471.256854560008</v>
      </c>
      <c r="J59" s="6">
        <f t="shared" si="55"/>
        <v>83038.355938329958</v>
      </c>
      <c r="K59" s="6">
        <f t="shared" si="55"/>
        <v>66843.057991049951</v>
      </c>
      <c r="L59" s="6">
        <f t="shared" si="55"/>
        <v>94281.010534389949</v>
      </c>
      <c r="M59" s="6">
        <f t="shared" si="55"/>
        <v>175401.07091566999</v>
      </c>
      <c r="N59" s="6">
        <f t="shared" si="55"/>
        <v>179279.50516328003</v>
      </c>
      <c r="O59" s="6">
        <f t="shared" si="55"/>
        <v>80878.676864540001</v>
      </c>
      <c r="P59" s="6">
        <f t="shared" ref="P59:V59" si="56">+P60+P61+P62+P63</f>
        <v>142123.65492466002</v>
      </c>
      <c r="Q59" s="6">
        <f t="shared" si="56"/>
        <v>52406.967005190003</v>
      </c>
      <c r="R59" s="6">
        <f t="shared" si="56"/>
        <v>74468.169756220042</v>
      </c>
      <c r="S59" s="6">
        <f t="shared" si="56"/>
        <v>84785.225495879815</v>
      </c>
      <c r="T59" s="6">
        <f t="shared" si="56"/>
        <v>64503.341900170162</v>
      </c>
      <c r="U59" s="6">
        <f t="shared" si="56"/>
        <v>60512.999878519891</v>
      </c>
      <c r="V59" s="6">
        <f t="shared" si="56"/>
        <v>52820.316637500029</v>
      </c>
      <c r="W59" s="62">
        <f t="shared" si="7"/>
        <v>0.28389072511310554</v>
      </c>
      <c r="X59" s="62">
        <f t="shared" si="54"/>
        <v>0.30358983067855938</v>
      </c>
      <c r="Y59" s="62">
        <f t="shared" si="54"/>
        <v>-0.12575321276058404</v>
      </c>
      <c r="Z59" s="62">
        <f t="shared" si="54"/>
        <v>3.8356974781692275</v>
      </c>
      <c r="AA59" s="62">
        <f t="shared" si="54"/>
        <v>-0.74600473201688322</v>
      </c>
      <c r="AB59" s="62">
        <f t="shared" si="54"/>
        <v>-2.1949815329782907E-2</v>
      </c>
      <c r="AC59" s="62">
        <f t="shared" si="54"/>
        <v>1.3410040495267919</v>
      </c>
      <c r="AD59" s="62">
        <f t="shared" si="54"/>
        <v>-0.19503394261933316</v>
      </c>
      <c r="AE59" s="62">
        <f t="shared" si="54"/>
        <v>0.41048320301285202</v>
      </c>
      <c r="AF59" s="62">
        <f t="shared" si="54"/>
        <v>0.86040720099930068</v>
      </c>
      <c r="AG59" s="62">
        <f t="shared" si="54"/>
        <v>2.2111804833134352E-2</v>
      </c>
      <c r="AH59" s="62">
        <f t="shared" si="54"/>
        <v>-0.54886825021700503</v>
      </c>
      <c r="AI59" s="62">
        <f t="shared" si="54"/>
        <v>0.75724505437565992</v>
      </c>
      <c r="AJ59" s="62">
        <f t="shared" si="54"/>
        <v>-0.63125795608780944</v>
      </c>
      <c r="AK59" s="62">
        <f t="shared" si="54"/>
        <v>0.4209593497148052</v>
      </c>
      <c r="AL59" s="62">
        <f t="shared" si="54"/>
        <v>0.13854316244690601</v>
      </c>
      <c r="AM59" s="62">
        <f t="shared" si="54"/>
        <v>-0.23921483344636807</v>
      </c>
      <c r="AN59" s="62">
        <f t="shared" si="54"/>
        <v>-6.1862562529333753E-2</v>
      </c>
      <c r="AO59" s="62">
        <f t="shared" si="54"/>
        <v>-0.12712447336048383</v>
      </c>
    </row>
    <row r="60" spans="1:43">
      <c r="B60" s="1" t="s">
        <v>6</v>
      </c>
      <c r="C60" s="51">
        <v>63.500000000000114</v>
      </c>
      <c r="D60" s="2">
        <v>332.5</v>
      </c>
      <c r="E60" s="38">
        <v>67.999999999999858</v>
      </c>
      <c r="F60" s="2">
        <v>3519.5779482800026</v>
      </c>
      <c r="G60" s="2">
        <v>4931.4117943499969</v>
      </c>
      <c r="H60" s="2">
        <v>4611.6164839200028</v>
      </c>
      <c r="I60" s="2">
        <v>2924.4888112600015</v>
      </c>
      <c r="J60" s="2">
        <v>3227.8847793099999</v>
      </c>
      <c r="K60" s="2">
        <v>6762.1357255799985</v>
      </c>
      <c r="L60" s="2">
        <v>6822.824309800003</v>
      </c>
      <c r="M60" s="2">
        <v>4803.5960866700007</v>
      </c>
      <c r="N60" s="2">
        <v>7920.2377720200029</v>
      </c>
      <c r="O60" s="2">
        <v>5247.2864990900007</v>
      </c>
      <c r="P60" s="2">
        <v>5468.9270380799935</v>
      </c>
      <c r="Q60" s="2">
        <v>2416.6079963599987</v>
      </c>
      <c r="R60" s="2">
        <v>7148.5931830900081</v>
      </c>
      <c r="S60" s="2">
        <v>6184.3517091900012</v>
      </c>
      <c r="T60" s="2">
        <v>2756.6762726900001</v>
      </c>
      <c r="U60" s="2">
        <v>5127.3555871499966</v>
      </c>
      <c r="V60" s="2">
        <v>1653.2218199999991</v>
      </c>
      <c r="W60" s="58">
        <f t="shared" si="7"/>
        <v>4.2362204724409356</v>
      </c>
      <c r="X60" s="58">
        <f t="shared" si="54"/>
        <v>-0.79548872180451169</v>
      </c>
      <c r="Y60" s="58">
        <f t="shared" si="54"/>
        <v>50.758499239411911</v>
      </c>
      <c r="Z60" s="58">
        <f t="shared" si="54"/>
        <v>0.40113725759645402</v>
      </c>
      <c r="AA60" s="58">
        <f t="shared" si="54"/>
        <v>-6.4848632352380142E-2</v>
      </c>
      <c r="AB60" s="58">
        <f t="shared" si="54"/>
        <v>-0.36584301373341777</v>
      </c>
      <c r="AC60" s="58">
        <f t="shared" si="54"/>
        <v>0.10374324801033574</v>
      </c>
      <c r="AD60" s="58">
        <f t="shared" si="54"/>
        <v>1.0949123614708105</v>
      </c>
      <c r="AE60" s="58">
        <f t="shared" si="54"/>
        <v>8.9747657667429426E-3</v>
      </c>
      <c r="AF60" s="58">
        <f t="shared" si="54"/>
        <v>-0.29595195940040142</v>
      </c>
      <c r="AG60" s="58">
        <f t="shared" si="54"/>
        <v>0.64881426937595688</v>
      </c>
      <c r="AH60" s="58">
        <f t="shared" si="54"/>
        <v>-0.33748371575065528</v>
      </c>
      <c r="AI60" s="58">
        <f t="shared" si="54"/>
        <v>4.2239077097930622E-2</v>
      </c>
      <c r="AJ60" s="58">
        <f t="shared" si="54"/>
        <v>-0.55812027120983299</v>
      </c>
      <c r="AK60" s="58">
        <f t="shared" si="54"/>
        <v>1.958110373654947</v>
      </c>
      <c r="AL60" s="58">
        <f t="shared" si="54"/>
        <v>-0.13488548714464821</v>
      </c>
      <c r="AM60" s="58">
        <f t="shared" si="54"/>
        <v>-0.55424975772423246</v>
      </c>
      <c r="AN60" s="58">
        <f t="shared" si="54"/>
        <v>0.85997740755633134</v>
      </c>
      <c r="AO60" s="58">
        <f t="shared" si="54"/>
        <v>-0.67756833090662816</v>
      </c>
    </row>
    <row r="61" spans="1:43">
      <c r="B61" s="1" t="s">
        <v>7</v>
      </c>
      <c r="C61" s="51">
        <f>19714.6-500</f>
        <v>19214.599999999999</v>
      </c>
      <c r="D61" s="2">
        <v>25269.5</v>
      </c>
      <c r="E61" s="38">
        <v>33218</v>
      </c>
      <c r="F61" s="2">
        <f>19684.70305339-840.8</f>
        <v>18843.90305339</v>
      </c>
      <c r="G61" s="2">
        <v>125974.96945184997</v>
      </c>
      <c r="H61" s="2">
        <v>29175.465504360014</v>
      </c>
      <c r="I61" s="2">
        <v>24962.825176860006</v>
      </c>
      <c r="J61" s="2">
        <v>79706.724851569976</v>
      </c>
      <c r="K61" s="2">
        <v>49224.986262999941</v>
      </c>
      <c r="L61" s="2">
        <v>81069.903014809955</v>
      </c>
      <c r="M61" s="2">
        <v>126747.25772978</v>
      </c>
      <c r="N61" s="2">
        <v>140327.36667639003</v>
      </c>
      <c r="O61" s="2">
        <v>70654.54431954</v>
      </c>
      <c r="P61" s="2">
        <v>128600.19018055999</v>
      </c>
      <c r="Q61" s="2">
        <v>43297.590399870009</v>
      </c>
      <c r="R61" s="2">
        <v>67141.352463170042</v>
      </c>
      <c r="S61" s="2">
        <v>78600.873786689815</v>
      </c>
      <c r="T61" s="2">
        <v>55891.007429990168</v>
      </c>
      <c r="U61" s="2">
        <v>51296.22623867989</v>
      </c>
      <c r="V61" s="2">
        <v>47006.910817500022</v>
      </c>
      <c r="W61" s="58">
        <f t="shared" si="7"/>
        <v>0.31511975268806025</v>
      </c>
      <c r="X61" s="58">
        <f t="shared" si="54"/>
        <v>0.31454916005461131</v>
      </c>
      <c r="Y61" s="58">
        <f t="shared" si="54"/>
        <v>-0.43272012001354687</v>
      </c>
      <c r="Z61" s="58">
        <f t="shared" si="54"/>
        <v>5.6851845445674378</v>
      </c>
      <c r="AA61" s="58">
        <f t="shared" si="54"/>
        <v>-0.7684026784740644</v>
      </c>
      <c r="AB61" s="58">
        <f t="shared" si="54"/>
        <v>-0.14438982393855782</v>
      </c>
      <c r="AC61" s="58">
        <f t="shared" si="54"/>
        <v>2.1930169877348806</v>
      </c>
      <c r="AD61" s="58">
        <f t="shared" si="54"/>
        <v>-0.38242367435537206</v>
      </c>
      <c r="AE61" s="58">
        <f t="shared" si="54"/>
        <v>0.64692586365933247</v>
      </c>
      <c r="AF61" s="58">
        <f t="shared" si="54"/>
        <v>0.563431717768623</v>
      </c>
      <c r="AG61" s="58">
        <f t="shared" si="54"/>
        <v>0.10714321705927765</v>
      </c>
      <c r="AH61" s="58">
        <f t="shared" si="54"/>
        <v>-0.49650202955438505</v>
      </c>
      <c r="AI61" s="58">
        <f t="shared" si="54"/>
        <v>0.82012624126421163</v>
      </c>
      <c r="AJ61" s="58">
        <f t="shared" si="54"/>
        <v>-0.66331628017751454</v>
      </c>
      <c r="AK61" s="58">
        <f t="shared" si="54"/>
        <v>0.55069489648485415</v>
      </c>
      <c r="AL61" s="58">
        <f t="shared" si="54"/>
        <v>0.17067754674447189</v>
      </c>
      <c r="AM61" s="58">
        <f t="shared" si="54"/>
        <v>-0.28892638545381299</v>
      </c>
      <c r="AN61" s="58">
        <f t="shared" si="54"/>
        <v>-8.2209668470652697E-2</v>
      </c>
      <c r="AO61" s="58">
        <f t="shared" si="54"/>
        <v>-8.3618537574709828E-2</v>
      </c>
    </row>
    <row r="62" spans="1:43">
      <c r="B62" s="1" t="s">
        <v>8</v>
      </c>
      <c r="C62" s="51">
        <v>2.5</v>
      </c>
      <c r="D62" s="2">
        <v>0</v>
      </c>
      <c r="E62" s="38">
        <v>7.1</v>
      </c>
      <c r="F62" s="2">
        <v>8.2999999899999892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619.57383438000011</v>
      </c>
      <c r="O62" s="2">
        <v>0</v>
      </c>
      <c r="P62" s="2">
        <v>156.38724956000001</v>
      </c>
      <c r="Q62" s="2">
        <v>0</v>
      </c>
      <c r="R62" s="2">
        <v>0</v>
      </c>
      <c r="S62" s="2">
        <v>0</v>
      </c>
      <c r="T62" s="2">
        <v>0</v>
      </c>
      <c r="U62" s="2">
        <v>-2.1742607714259066E-12</v>
      </c>
      <c r="V62" s="2">
        <v>0</v>
      </c>
      <c r="W62" s="100">
        <f t="shared" si="7"/>
        <v>-1</v>
      </c>
      <c r="X62" s="100" t="e">
        <f t="shared" si="54"/>
        <v>#DIV/0!</v>
      </c>
      <c r="Y62" s="100">
        <f t="shared" si="54"/>
        <v>0.16901408309859001</v>
      </c>
      <c r="Z62" s="100">
        <f t="shared" si="54"/>
        <v>-1</v>
      </c>
      <c r="AA62" s="100" t="e">
        <f t="shared" si="54"/>
        <v>#DIV/0!</v>
      </c>
      <c r="AB62" s="100" t="e">
        <f t="shared" si="54"/>
        <v>#DIV/0!</v>
      </c>
      <c r="AC62" s="100" t="e">
        <f t="shared" si="54"/>
        <v>#DIV/0!</v>
      </c>
      <c r="AD62" s="100" t="e">
        <f t="shared" si="54"/>
        <v>#DIV/0!</v>
      </c>
      <c r="AE62" s="100" t="e">
        <f t="shared" si="54"/>
        <v>#DIV/0!</v>
      </c>
      <c r="AF62" s="100" t="e">
        <f t="shared" si="54"/>
        <v>#DIV/0!</v>
      </c>
      <c r="AG62" s="100" t="e">
        <f t="shared" si="54"/>
        <v>#DIV/0!</v>
      </c>
      <c r="AH62" s="100">
        <f t="shared" si="54"/>
        <v>-1</v>
      </c>
      <c r="AI62" s="100" t="e">
        <f t="shared" si="54"/>
        <v>#DIV/0!</v>
      </c>
      <c r="AJ62" s="100">
        <f t="shared" si="54"/>
        <v>-1</v>
      </c>
      <c r="AK62" s="100" t="e">
        <f t="shared" si="54"/>
        <v>#DIV/0!</v>
      </c>
      <c r="AL62" s="100" t="e">
        <f t="shared" si="54"/>
        <v>#DIV/0!</v>
      </c>
      <c r="AM62" s="100" t="e">
        <f t="shared" si="54"/>
        <v>#DIV/0!</v>
      </c>
      <c r="AN62" s="100" t="e">
        <f t="shared" si="54"/>
        <v>#DIV/0!</v>
      </c>
      <c r="AO62" s="100">
        <f t="shared" si="54"/>
        <v>-1</v>
      </c>
    </row>
    <row r="63" spans="1:43">
      <c r="B63" s="18" t="s">
        <v>14</v>
      </c>
      <c r="C63" s="51">
        <v>899.69999999999891</v>
      </c>
      <c r="D63" s="2">
        <v>307.3</v>
      </c>
      <c r="E63" s="38">
        <f>658.5-176.5</f>
        <v>482</v>
      </c>
      <c r="F63" s="2">
        <v>7155.9916620299973</v>
      </c>
      <c r="G63" s="2">
        <v>11880.994559559998</v>
      </c>
      <c r="H63" s="2">
        <v>2480.2357941100017</v>
      </c>
      <c r="I63" s="2">
        <v>7583.9428664399984</v>
      </c>
      <c r="J63" s="2">
        <f>4657.34630744999-4553.6</f>
        <v>103.74630744998922</v>
      </c>
      <c r="K63" s="2">
        <v>10855.936002470011</v>
      </c>
      <c r="L63" s="2">
        <v>6388.2832097799837</v>
      </c>
      <c r="M63" s="2">
        <v>43850.217099219997</v>
      </c>
      <c r="N63" s="2">
        <v>30412.326880489993</v>
      </c>
      <c r="O63" s="2">
        <v>4976.8460459100061</v>
      </c>
      <c r="P63" s="2">
        <v>7898.1504564600182</v>
      </c>
      <c r="Q63" s="2">
        <v>6692.7686089599947</v>
      </c>
      <c r="R63" s="2">
        <v>178.22410995999715</v>
      </c>
      <c r="S63" s="2">
        <v>0</v>
      </c>
      <c r="T63" s="2">
        <v>5855.6581974899991</v>
      </c>
      <c r="U63" s="2">
        <v>4089.4180526899991</v>
      </c>
      <c r="V63" s="2">
        <v>4160.1840000000047</v>
      </c>
      <c r="W63" s="58">
        <f t="shared" si="7"/>
        <v>-0.65844170278981839</v>
      </c>
      <c r="X63" s="58">
        <f t="shared" si="54"/>
        <v>0.56849983729254805</v>
      </c>
      <c r="Y63" s="58">
        <f t="shared" si="54"/>
        <v>13.846455730352691</v>
      </c>
      <c r="Z63" s="58">
        <f t="shared" si="54"/>
        <v>0.66028624971729233</v>
      </c>
      <c r="AA63" s="58">
        <f t="shared" si="54"/>
        <v>-0.79124341975947721</v>
      </c>
      <c r="AB63" s="58">
        <f t="shared" si="54"/>
        <v>2.0577507527510672</v>
      </c>
      <c r="AC63" s="58">
        <f t="shared" si="54"/>
        <v>-0.98632026779775983</v>
      </c>
      <c r="AD63" s="58">
        <f t="shared" si="54"/>
        <v>103.63925193388788</v>
      </c>
      <c r="AE63" s="58">
        <f t="shared" si="54"/>
        <v>-0.41154008200430792</v>
      </c>
      <c r="AF63" s="58">
        <f t="shared" si="54"/>
        <v>5.8641629776351483</v>
      </c>
      <c r="AG63" s="58">
        <f t="shared" si="54"/>
        <v>-0.30644979905855552</v>
      </c>
      <c r="AH63" s="58">
        <f t="shared" si="54"/>
        <v>-0.83635431562118534</v>
      </c>
      <c r="AI63" s="58">
        <f t="shared" si="54"/>
        <v>0.58697905934839056</v>
      </c>
      <c r="AJ63" s="58">
        <f t="shared" si="54"/>
        <v>-0.15261571100030424</v>
      </c>
      <c r="AK63" s="58">
        <f t="shared" si="54"/>
        <v>-0.97337064518839056</v>
      </c>
      <c r="AL63" s="58">
        <f t="shared" si="54"/>
        <v>-1</v>
      </c>
      <c r="AM63" s="100" t="e">
        <f t="shared" si="54"/>
        <v>#DIV/0!</v>
      </c>
      <c r="AN63" s="58">
        <f t="shared" si="54"/>
        <v>-0.30162965207858117</v>
      </c>
      <c r="AO63" s="58">
        <f t="shared" si="54"/>
        <v>1.7304649805479411E-2</v>
      </c>
    </row>
    <row r="64" spans="1:43">
      <c r="B64" s="18"/>
      <c r="C64" s="51"/>
      <c r="D64" s="2"/>
      <c r="E64" s="3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</row>
    <row r="65" spans="1:41">
      <c r="B65" s="16" t="s">
        <v>50</v>
      </c>
      <c r="C65" s="51"/>
      <c r="D65" s="2"/>
      <c r="E65" s="38">
        <v>64904.7</v>
      </c>
      <c r="F65" s="21">
        <f t="shared" ref="F65:K65" si="57">F66-F67</f>
        <v>0</v>
      </c>
      <c r="G65" s="21">
        <f t="shared" si="57"/>
        <v>0</v>
      </c>
      <c r="H65" s="21">
        <f t="shared" si="57"/>
        <v>0</v>
      </c>
      <c r="I65" s="21">
        <f t="shared" si="57"/>
        <v>0</v>
      </c>
      <c r="J65" s="21">
        <f t="shared" si="57"/>
        <v>0</v>
      </c>
      <c r="K65" s="21">
        <f t="shared" si="57"/>
        <v>0</v>
      </c>
      <c r="L65" s="21">
        <f t="shared" ref="L65:V65" si="58">L66-L67</f>
        <v>0</v>
      </c>
      <c r="M65" s="21">
        <f t="shared" si="58"/>
        <v>0</v>
      </c>
      <c r="N65" s="21">
        <f t="shared" si="58"/>
        <v>2.785013000000049</v>
      </c>
      <c r="O65" s="21">
        <f t="shared" si="58"/>
        <v>0</v>
      </c>
      <c r="P65" s="21">
        <f t="shared" si="58"/>
        <v>0</v>
      </c>
      <c r="Q65" s="21">
        <f t="shared" si="58"/>
        <v>0</v>
      </c>
      <c r="R65" s="21">
        <f t="shared" si="58"/>
        <v>0</v>
      </c>
      <c r="S65" s="21">
        <f t="shared" si="58"/>
        <v>1097.6658803500004</v>
      </c>
      <c r="T65" s="21">
        <f t="shared" si="58"/>
        <v>0</v>
      </c>
      <c r="U65" s="21">
        <f t="shared" si="58"/>
        <v>0</v>
      </c>
      <c r="V65" s="21">
        <f t="shared" si="58"/>
        <v>0</v>
      </c>
      <c r="W65" s="120" t="e">
        <f t="shared" si="7"/>
        <v>#DIV/0!</v>
      </c>
      <c r="X65" s="120" t="e">
        <f t="shared" ref="X65:AO67" si="59">+E65/D65-1</f>
        <v>#DIV/0!</v>
      </c>
      <c r="Y65" s="51">
        <f t="shared" si="59"/>
        <v>-1</v>
      </c>
      <c r="Z65" s="120" t="e">
        <f t="shared" si="59"/>
        <v>#DIV/0!</v>
      </c>
      <c r="AA65" s="120" t="e">
        <f t="shared" si="59"/>
        <v>#DIV/0!</v>
      </c>
      <c r="AB65" s="120" t="e">
        <f t="shared" si="59"/>
        <v>#DIV/0!</v>
      </c>
      <c r="AC65" s="120" t="e">
        <f t="shared" si="59"/>
        <v>#DIV/0!</v>
      </c>
      <c r="AD65" s="120" t="e">
        <f t="shared" si="59"/>
        <v>#DIV/0!</v>
      </c>
      <c r="AE65" s="120" t="e">
        <f t="shared" si="59"/>
        <v>#DIV/0!</v>
      </c>
      <c r="AF65" s="120" t="e">
        <f t="shared" si="59"/>
        <v>#DIV/0!</v>
      </c>
      <c r="AG65" s="120" t="e">
        <f t="shared" si="59"/>
        <v>#DIV/0!</v>
      </c>
      <c r="AH65" s="51">
        <f t="shared" si="59"/>
        <v>-1</v>
      </c>
      <c r="AI65" s="120" t="e">
        <f t="shared" si="59"/>
        <v>#DIV/0!</v>
      </c>
      <c r="AJ65" s="120" t="e">
        <f t="shared" si="59"/>
        <v>#DIV/0!</v>
      </c>
      <c r="AK65" s="120" t="e">
        <f t="shared" si="59"/>
        <v>#DIV/0!</v>
      </c>
      <c r="AL65" s="120" t="e">
        <f t="shared" si="59"/>
        <v>#DIV/0!</v>
      </c>
      <c r="AM65" s="120">
        <f t="shared" si="59"/>
        <v>-1</v>
      </c>
      <c r="AN65" s="120" t="e">
        <f t="shared" si="59"/>
        <v>#DIV/0!</v>
      </c>
      <c r="AO65" s="120" t="e">
        <f t="shared" si="59"/>
        <v>#DIV/0!</v>
      </c>
    </row>
    <row r="66" spans="1:41">
      <c r="B66" s="55" t="s">
        <v>49</v>
      </c>
      <c r="C66" s="51"/>
      <c r="D66" s="2"/>
      <c r="E66" s="38">
        <v>64904.7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2.785013000000049</v>
      </c>
      <c r="O66" s="2">
        <v>0</v>
      </c>
      <c r="P66" s="2">
        <v>0</v>
      </c>
      <c r="Q66" s="2">
        <v>0</v>
      </c>
      <c r="R66" s="2">
        <v>4.5474735088646412E-13</v>
      </c>
      <c r="S66" s="2">
        <v>1097.6658803500004</v>
      </c>
      <c r="T66" s="2">
        <v>0</v>
      </c>
      <c r="U66" s="2">
        <v>-2.1742607714259066E-12</v>
      </c>
      <c r="V66" s="2"/>
      <c r="W66" s="120" t="e">
        <f t="shared" si="7"/>
        <v>#DIV/0!</v>
      </c>
      <c r="X66" s="120" t="e">
        <f t="shared" si="59"/>
        <v>#DIV/0!</v>
      </c>
      <c r="Y66" s="51">
        <f t="shared" si="59"/>
        <v>-1</v>
      </c>
      <c r="Z66" s="120" t="e">
        <f t="shared" si="59"/>
        <v>#DIV/0!</v>
      </c>
      <c r="AA66" s="120" t="e">
        <f t="shared" si="59"/>
        <v>#DIV/0!</v>
      </c>
      <c r="AB66" s="120" t="e">
        <f t="shared" si="59"/>
        <v>#DIV/0!</v>
      </c>
      <c r="AC66" s="120" t="e">
        <f t="shared" si="59"/>
        <v>#DIV/0!</v>
      </c>
      <c r="AD66" s="120" t="e">
        <f t="shared" si="59"/>
        <v>#DIV/0!</v>
      </c>
      <c r="AE66" s="120" t="e">
        <f t="shared" si="59"/>
        <v>#DIV/0!</v>
      </c>
      <c r="AF66" s="120" t="e">
        <f t="shared" si="59"/>
        <v>#DIV/0!</v>
      </c>
      <c r="AG66" s="120" t="e">
        <f t="shared" si="59"/>
        <v>#DIV/0!</v>
      </c>
      <c r="AH66" s="51">
        <f t="shared" si="59"/>
        <v>-1</v>
      </c>
      <c r="AI66" s="120" t="e">
        <f t="shared" si="59"/>
        <v>#DIV/0!</v>
      </c>
      <c r="AJ66" s="120" t="e">
        <f t="shared" si="59"/>
        <v>#DIV/0!</v>
      </c>
      <c r="AK66" s="120" t="e">
        <f t="shared" si="59"/>
        <v>#DIV/0!</v>
      </c>
      <c r="AL66" s="120">
        <f t="shared" si="59"/>
        <v>2413792797715609</v>
      </c>
      <c r="AM66" s="120">
        <f t="shared" si="59"/>
        <v>-1</v>
      </c>
      <c r="AN66" s="120" t="e">
        <f t="shared" si="59"/>
        <v>#DIV/0!</v>
      </c>
      <c r="AO66" s="120">
        <f t="shared" si="59"/>
        <v>-1</v>
      </c>
    </row>
    <row r="67" spans="1:41">
      <c r="B67" s="47" t="s">
        <v>51</v>
      </c>
      <c r="C67" s="51"/>
      <c r="D67" s="2"/>
      <c r="E67" s="38"/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4.5474735088646412E-13</v>
      </c>
      <c r="S67" s="2">
        <v>0</v>
      </c>
      <c r="T67" s="2">
        <v>0</v>
      </c>
      <c r="U67" s="2">
        <v>-2.1742607714259066E-12</v>
      </c>
      <c r="V67" s="2"/>
      <c r="W67" s="120" t="e">
        <f t="shared" si="7"/>
        <v>#DIV/0!</v>
      </c>
      <c r="X67" s="120" t="e">
        <f t="shared" si="59"/>
        <v>#DIV/0!</v>
      </c>
      <c r="Y67" s="120" t="e">
        <f t="shared" si="59"/>
        <v>#DIV/0!</v>
      </c>
      <c r="Z67" s="120" t="e">
        <f t="shared" si="59"/>
        <v>#DIV/0!</v>
      </c>
      <c r="AA67" s="120" t="e">
        <f t="shared" si="59"/>
        <v>#DIV/0!</v>
      </c>
      <c r="AB67" s="120" t="e">
        <f t="shared" si="59"/>
        <v>#DIV/0!</v>
      </c>
      <c r="AC67" s="120" t="e">
        <f t="shared" si="59"/>
        <v>#DIV/0!</v>
      </c>
      <c r="AD67" s="120" t="e">
        <f t="shared" si="59"/>
        <v>#DIV/0!</v>
      </c>
      <c r="AE67" s="120" t="e">
        <f t="shared" si="59"/>
        <v>#DIV/0!</v>
      </c>
      <c r="AF67" s="120" t="e">
        <f t="shared" si="59"/>
        <v>#DIV/0!</v>
      </c>
      <c r="AG67" s="120" t="e">
        <f t="shared" si="59"/>
        <v>#DIV/0!</v>
      </c>
      <c r="AH67" s="120" t="e">
        <f t="shared" si="59"/>
        <v>#DIV/0!</v>
      </c>
      <c r="AI67" s="120" t="e">
        <f t="shared" si="59"/>
        <v>#DIV/0!</v>
      </c>
      <c r="AJ67" s="120" t="e">
        <f t="shared" si="59"/>
        <v>#DIV/0!</v>
      </c>
      <c r="AK67" s="120" t="e">
        <f t="shared" si="59"/>
        <v>#DIV/0!</v>
      </c>
      <c r="AL67" s="120">
        <f t="shared" si="59"/>
        <v>-1</v>
      </c>
      <c r="AM67" s="120" t="e">
        <f t="shared" si="59"/>
        <v>#DIV/0!</v>
      </c>
      <c r="AN67" s="120" t="e">
        <f t="shared" si="59"/>
        <v>#DIV/0!</v>
      </c>
      <c r="AO67" s="120">
        <f t="shared" si="59"/>
        <v>-1</v>
      </c>
    </row>
    <row r="68" spans="1:41">
      <c r="B68" s="3"/>
      <c r="C68" s="52"/>
      <c r="D68" s="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</row>
    <row r="69" spans="1:41">
      <c r="A69" s="5" t="s">
        <v>17</v>
      </c>
      <c r="B69" s="4" t="s">
        <v>21</v>
      </c>
      <c r="C69" s="22">
        <f t="shared" ref="C69:O69" si="60">+C9-C38</f>
        <v>-19723.475784150098</v>
      </c>
      <c r="D69" s="22">
        <f t="shared" si="60"/>
        <v>60777.960684740217</v>
      </c>
      <c r="E69" s="22">
        <f t="shared" si="60"/>
        <v>-79583.734184689994</v>
      </c>
      <c r="F69" s="22">
        <f t="shared" si="60"/>
        <v>-78118.363328509789</v>
      </c>
      <c r="G69" s="22">
        <f t="shared" si="60"/>
        <v>-195827.66002584016</v>
      </c>
      <c r="H69" s="22">
        <f t="shared" si="60"/>
        <v>-10082.044858820154</v>
      </c>
      <c r="I69" s="22">
        <f t="shared" si="60"/>
        <v>-45240.644557329826</v>
      </c>
      <c r="J69" s="22">
        <f t="shared" si="60"/>
        <v>-103515.74419642048</v>
      </c>
      <c r="K69" s="22">
        <f t="shared" si="60"/>
        <v>-68626.551429470186</v>
      </c>
      <c r="L69" s="22">
        <f t="shared" si="60"/>
        <v>-105597.96956340049</v>
      </c>
      <c r="M69" s="22">
        <f t="shared" si="60"/>
        <v>-150141.72429626004</v>
      </c>
      <c r="N69" s="22">
        <f t="shared" si="60"/>
        <v>-262813.20039447001</v>
      </c>
      <c r="O69" s="22">
        <f t="shared" si="60"/>
        <v>-5170.8709051595069</v>
      </c>
      <c r="P69" s="22">
        <f t="shared" ref="P69:U69" si="61">+P9-P38</f>
        <v>-212523.54394953093</v>
      </c>
      <c r="Q69" s="22">
        <f t="shared" si="61"/>
        <v>-75931.351565820281</v>
      </c>
      <c r="R69" s="22">
        <f t="shared" si="61"/>
        <v>-173145.39687934925</v>
      </c>
      <c r="S69" s="22">
        <f t="shared" si="61"/>
        <v>-80373.908171659335</v>
      </c>
      <c r="T69" s="22">
        <f t="shared" si="61"/>
        <v>-139986.74218557065</v>
      </c>
      <c r="U69" s="22">
        <f t="shared" si="61"/>
        <v>-85796.352870959789</v>
      </c>
      <c r="V69" s="22">
        <f t="shared" ref="V69" si="62">+V9-V38</f>
        <v>-14645.666507291375</v>
      </c>
      <c r="W69" s="61">
        <f t="shared" si="7"/>
        <v>-4.0815035519034506</v>
      </c>
      <c r="X69" s="61">
        <f t="shared" ref="X69:AO69" si="63">+E69/D69-1</f>
        <v>-2.3094176456083599</v>
      </c>
      <c r="Y69" s="61">
        <f t="shared" si="63"/>
        <v>-1.8412944192584879E-2</v>
      </c>
      <c r="Z69" s="61">
        <f t="shared" si="63"/>
        <v>1.5068070000689788</v>
      </c>
      <c r="AA69" s="61">
        <f t="shared" si="63"/>
        <v>-0.94851572623862335</v>
      </c>
      <c r="AB69" s="61">
        <f t="shared" si="63"/>
        <v>3.4872488856019714</v>
      </c>
      <c r="AC69" s="61">
        <f t="shared" si="63"/>
        <v>1.2881138235164467</v>
      </c>
      <c r="AD69" s="61">
        <f t="shared" si="63"/>
        <v>-0.3370423797634905</v>
      </c>
      <c r="AE69" s="61">
        <f t="shared" si="63"/>
        <v>0.53873344010192725</v>
      </c>
      <c r="AF69" s="61">
        <f t="shared" si="63"/>
        <v>0.42182396988339543</v>
      </c>
      <c r="AG69" s="61">
        <f t="shared" si="63"/>
        <v>0.75043414231667094</v>
      </c>
      <c r="AH69" s="61">
        <f t="shared" si="63"/>
        <v>-0.98032491938229027</v>
      </c>
      <c r="AI69" s="61">
        <f t="shared" si="63"/>
        <v>40.100144994429165</v>
      </c>
      <c r="AJ69" s="61">
        <f t="shared" si="63"/>
        <v>-0.64271557797919976</v>
      </c>
      <c r="AK69" s="61">
        <f t="shared" si="63"/>
        <v>1.2802886200341108</v>
      </c>
      <c r="AL69" s="61">
        <f t="shared" si="63"/>
        <v>-0.53580106881117207</v>
      </c>
      <c r="AM69" s="61">
        <f t="shared" si="63"/>
        <v>0.74169385774538465</v>
      </c>
      <c r="AN69" s="61">
        <f t="shared" si="63"/>
        <v>-0.38711086827618613</v>
      </c>
      <c r="AO69" s="61">
        <f t="shared" si="63"/>
        <v>-0.82929733004713047</v>
      </c>
    </row>
    <row r="70" spans="1:41" ht="14.25">
      <c r="A70" s="5"/>
      <c r="B70" s="49" t="s">
        <v>45</v>
      </c>
      <c r="C70" s="50">
        <f t="shared" ref="C70:N70" si="64">+C69/C$78</f>
        <v>-1.6983494628710909E-3</v>
      </c>
      <c r="D70" s="50">
        <f t="shared" si="64"/>
        <v>4.3759614944471996E-3</v>
      </c>
      <c r="E70" s="50">
        <f t="shared" si="64"/>
        <v>-4.9098561542384291E-3</v>
      </c>
      <c r="F70" s="50">
        <f t="shared" si="64"/>
        <v>-4.4319589656286488E-3</v>
      </c>
      <c r="G70" s="50">
        <f t="shared" si="64"/>
        <v>-9.8892816482908132E-3</v>
      </c>
      <c r="H70" s="50">
        <f t="shared" si="64"/>
        <v>-4.6625353846431461E-4</v>
      </c>
      <c r="I70" s="50">
        <f t="shared" si="64"/>
        <v>-1.9046391961823855E-3</v>
      </c>
      <c r="J70" s="50">
        <f t="shared" si="64"/>
        <v>-4.065346925467183E-3</v>
      </c>
      <c r="K70" s="50">
        <f t="shared" si="64"/>
        <v>-2.4508320608866482E-3</v>
      </c>
      <c r="L70" s="50">
        <f t="shared" si="64"/>
        <v>-3.4733999667297308E-3</v>
      </c>
      <c r="M70" s="50">
        <f t="shared" si="64"/>
        <v>-4.6836902438461368E-3</v>
      </c>
      <c r="N70" s="50">
        <f t="shared" si="64"/>
        <v>-7.6524545156267986E-3</v>
      </c>
      <c r="O70" s="50">
        <f t="shared" ref="O70:T70" si="65">+O69/O$78</f>
        <v>-1.435766012288611E-4</v>
      </c>
      <c r="P70" s="50">
        <f t="shared" si="65"/>
        <v>-5.6175381299351382E-3</v>
      </c>
      <c r="Q70" s="50">
        <f t="shared" si="65"/>
        <v>-2.0805819858211966E-3</v>
      </c>
      <c r="R70" s="50">
        <f t="shared" si="65"/>
        <v>-4.2935750973677215E-3</v>
      </c>
      <c r="S70" s="50">
        <f t="shared" si="65"/>
        <v>-1.7492577160068479E-3</v>
      </c>
      <c r="T70" s="50">
        <f t="shared" si="65"/>
        <v>-2.9402194272702474E-3</v>
      </c>
      <c r="U70" s="50">
        <f>+U69/U$78</f>
        <v>-1.7221552836573369E-3</v>
      </c>
      <c r="V70" s="50">
        <f>+V69/V$78</f>
        <v>-2.8266774495637432E-4</v>
      </c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</row>
    <row r="71" spans="1:41">
      <c r="A71" s="5" t="s">
        <v>18</v>
      </c>
      <c r="B71" s="4" t="s">
        <v>20</v>
      </c>
      <c r="C71" s="22">
        <f t="shared" ref="C71:O71" si="66">+C9-C36</f>
        <v>-33464.375784150092</v>
      </c>
      <c r="D71" s="22">
        <f t="shared" si="66"/>
        <v>49773.360684740241</v>
      </c>
      <c r="E71" s="22">
        <f t="shared" si="66"/>
        <v>-91109.534184690041</v>
      </c>
      <c r="F71" s="22">
        <f t="shared" si="66"/>
        <v>-101555.16332850978</v>
      </c>
      <c r="G71" s="22">
        <f t="shared" si="66"/>
        <v>-220321.85739461018</v>
      </c>
      <c r="H71" s="22">
        <f t="shared" si="66"/>
        <v>-55644.392770450097</v>
      </c>
      <c r="I71" s="22">
        <f t="shared" si="66"/>
        <v>-93517.383102329914</v>
      </c>
      <c r="J71" s="22">
        <f t="shared" si="66"/>
        <v>-197612.89894331031</v>
      </c>
      <c r="K71" s="22">
        <f t="shared" si="66"/>
        <v>-174073.40809561021</v>
      </c>
      <c r="L71" s="22">
        <f t="shared" si="66"/>
        <v>-219807.99551175034</v>
      </c>
      <c r="M71" s="22">
        <f t="shared" si="66"/>
        <v>-280682.92188590008</v>
      </c>
      <c r="N71" s="22">
        <f t="shared" si="66"/>
        <v>-365996.65923399013</v>
      </c>
      <c r="O71" s="22">
        <f t="shared" si="66"/>
        <v>-113470.21753000969</v>
      </c>
      <c r="P71" s="22">
        <f t="shared" ref="P71:U71" si="67">+P9-P36</f>
        <v>-356894.65125196043</v>
      </c>
      <c r="Q71" s="22">
        <f t="shared" si="67"/>
        <v>-218480.11431173049</v>
      </c>
      <c r="R71" s="22">
        <f t="shared" si="67"/>
        <v>-349015.81872931926</v>
      </c>
      <c r="S71" s="22">
        <f t="shared" si="67"/>
        <v>-237549.11795942904</v>
      </c>
      <c r="T71" s="22">
        <f t="shared" si="67"/>
        <v>-334559.07979829062</v>
      </c>
      <c r="U71" s="22">
        <f t="shared" si="67"/>
        <v>-273941.27276681969</v>
      </c>
      <c r="V71" s="22">
        <f t="shared" ref="V71" si="68">+V9-V36</f>
        <v>-194395.22783980111</v>
      </c>
      <c r="W71" s="61">
        <f t="shared" si="7"/>
        <v>-2.4873536266083489</v>
      </c>
      <c r="X71" s="61">
        <f t="shared" ref="X71:AO71" si="69">+E71/D71-1</f>
        <v>-2.8304878941522396</v>
      </c>
      <c r="Y71" s="61">
        <f t="shared" si="69"/>
        <v>0.11464913345561811</v>
      </c>
      <c r="Z71" s="61">
        <f t="shared" si="69"/>
        <v>1.1694796224384465</v>
      </c>
      <c r="AA71" s="61">
        <f t="shared" si="69"/>
        <v>-0.74744043360714985</v>
      </c>
      <c r="AB71" s="61">
        <f t="shared" si="69"/>
        <v>0.68062545831198706</v>
      </c>
      <c r="AC71" s="61">
        <f t="shared" si="69"/>
        <v>1.1131140798398467</v>
      </c>
      <c r="AD71" s="61">
        <f t="shared" si="69"/>
        <v>-0.11911920210457982</v>
      </c>
      <c r="AE71" s="61">
        <f t="shared" si="69"/>
        <v>0.26273161372827447</v>
      </c>
      <c r="AF71" s="61">
        <f t="shared" si="69"/>
        <v>0.27694591469442487</v>
      </c>
      <c r="AG71" s="61">
        <f t="shared" si="69"/>
        <v>0.30395058158462085</v>
      </c>
      <c r="AH71" s="61">
        <f t="shared" si="69"/>
        <v>-0.68996925336013648</v>
      </c>
      <c r="AI71" s="61">
        <f t="shared" si="69"/>
        <v>2.1452715877412665</v>
      </c>
      <c r="AJ71" s="61">
        <f t="shared" si="69"/>
        <v>-0.38783023633075431</v>
      </c>
      <c r="AK71" s="61">
        <f t="shared" si="69"/>
        <v>0.59747178743846052</v>
      </c>
      <c r="AL71" s="61">
        <f t="shared" si="69"/>
        <v>-0.31937435149992066</v>
      </c>
      <c r="AM71" s="61">
        <f t="shared" si="69"/>
        <v>0.40837853944559743</v>
      </c>
      <c r="AN71" s="61">
        <f t="shared" si="69"/>
        <v>-0.1811871525591775</v>
      </c>
      <c r="AO71" s="61">
        <f t="shared" si="69"/>
        <v>-0.29037626978804543</v>
      </c>
    </row>
    <row r="72" spans="1:41" ht="14.25">
      <c r="B72" s="49" t="s">
        <v>45</v>
      </c>
      <c r="C72" s="50">
        <f t="shared" ref="C72:O72" si="70">+C71/C$78</f>
        <v>-2.8815511657433097E-3</v>
      </c>
      <c r="D72" s="50">
        <f t="shared" si="70"/>
        <v>3.5836396508173887E-3</v>
      </c>
      <c r="E72" s="50">
        <f t="shared" si="70"/>
        <v>-5.6209313587669459E-3</v>
      </c>
      <c r="F72" s="50">
        <f t="shared" si="70"/>
        <v>-5.7616198988568431E-3</v>
      </c>
      <c r="G72" s="50">
        <f t="shared" si="70"/>
        <v>-1.1126236716316584E-2</v>
      </c>
      <c r="H72" s="50">
        <f t="shared" si="70"/>
        <v>-2.5733266800755548E-3</v>
      </c>
      <c r="I72" s="50">
        <f t="shared" si="70"/>
        <v>-3.9370984901726733E-3</v>
      </c>
      <c r="J72" s="50">
        <f t="shared" si="70"/>
        <v>-7.7608000347025828E-3</v>
      </c>
      <c r="K72" s="50">
        <f t="shared" si="70"/>
        <v>-6.2166126757364961E-3</v>
      </c>
      <c r="L72" s="50">
        <f t="shared" si="70"/>
        <v>-7.2300735274938429E-3</v>
      </c>
      <c r="M72" s="50">
        <f t="shared" si="70"/>
        <v>-8.7559395565298195E-3</v>
      </c>
      <c r="N72" s="50">
        <f t="shared" si="70"/>
        <v>-1.0656895405008747E-2</v>
      </c>
      <c r="O72" s="50">
        <f t="shared" si="70"/>
        <v>-3.1506623298992939E-3</v>
      </c>
      <c r="P72" s="50">
        <f t="shared" ref="P72:U72" si="71">+P71/P$78</f>
        <v>-9.4336339142448052E-3</v>
      </c>
      <c r="Q72" s="50">
        <f t="shared" si="71"/>
        <v>-5.9865362689232099E-3</v>
      </c>
      <c r="R72" s="50">
        <f t="shared" si="71"/>
        <v>-8.6547240347822282E-3</v>
      </c>
      <c r="S72" s="50">
        <f t="shared" si="71"/>
        <v>-5.1700189398986313E-3</v>
      </c>
      <c r="T72" s="50">
        <f t="shared" si="71"/>
        <v>-7.0269304838068095E-3</v>
      </c>
      <c r="U72" s="50">
        <f t="shared" si="71"/>
        <v>-5.4987117111696951E-3</v>
      </c>
      <c r="V72" s="50">
        <f t="shared" ref="V72" si="72">+V71/V$78</f>
        <v>-3.7519125986106936E-3</v>
      </c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</row>
    <row r="73" spans="1:41">
      <c r="B73" s="3"/>
      <c r="C73" s="30"/>
      <c r="D73" s="3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0"/>
      <c r="X73" s="30"/>
      <c r="Y73" s="30"/>
      <c r="Z73" s="30"/>
      <c r="AA73" s="30"/>
      <c r="AB73" s="30"/>
      <c r="AC73" s="30"/>
      <c r="AD73" s="30"/>
      <c r="AK73" s="3"/>
    </row>
    <row r="74" spans="1:41">
      <c r="B74" s="32" t="s">
        <v>39</v>
      </c>
      <c r="C74" s="2"/>
      <c r="D74" s="2"/>
      <c r="F74" s="43">
        <f t="shared" ref="F74:L74" si="73">F75+F76</f>
        <v>44248.759791855016</v>
      </c>
      <c r="G74" s="43">
        <f t="shared" si="73"/>
        <v>255846.944160877</v>
      </c>
      <c r="H74" s="43">
        <f t="shared" si="73"/>
        <v>94041.494244928064</v>
      </c>
      <c r="I74" s="43">
        <f t="shared" si="73"/>
        <v>93517.413260149755</v>
      </c>
      <c r="J74" s="43">
        <f t="shared" si="73"/>
        <v>197612.87394292207</v>
      </c>
      <c r="K74" s="43">
        <f t="shared" si="73"/>
        <v>174073.35713223161</v>
      </c>
      <c r="L74" s="43">
        <f t="shared" si="73"/>
        <v>219807.92250128157</v>
      </c>
      <c r="M74" s="43">
        <f t="shared" ref="M74:V74" si="74">M75+M76</f>
        <v>280682.8583244434</v>
      </c>
      <c r="N74" s="43">
        <f t="shared" si="74"/>
        <v>365996.69476314</v>
      </c>
      <c r="O74" s="43">
        <f t="shared" si="74"/>
        <v>113470.16785273273</v>
      </c>
      <c r="P74" s="43">
        <f t="shared" si="74"/>
        <v>356894.69472471578</v>
      </c>
      <c r="Q74" s="43">
        <f t="shared" si="74"/>
        <v>218480.06617188299</v>
      </c>
      <c r="R74" s="43">
        <f t="shared" si="74"/>
        <v>349015.7778511052</v>
      </c>
      <c r="S74" s="43">
        <f t="shared" si="74"/>
        <v>237549.11597723977</v>
      </c>
      <c r="T74" s="43">
        <f t="shared" si="74"/>
        <v>334559.11205689242</v>
      </c>
      <c r="U74" s="43">
        <f t="shared" si="74"/>
        <v>273941.25469766784</v>
      </c>
      <c r="V74" s="43">
        <f t="shared" si="74"/>
        <v>194395.1669889309</v>
      </c>
      <c r="W74" s="2"/>
      <c r="X74" s="2"/>
      <c r="Y74" s="2"/>
      <c r="Z74" s="2"/>
      <c r="AA74" s="2"/>
      <c r="AB74" s="2"/>
      <c r="AC74" s="2"/>
      <c r="AD74" s="2"/>
      <c r="AK74" s="43"/>
    </row>
    <row r="75" spans="1:41">
      <c r="B75" s="42" t="s">
        <v>41</v>
      </c>
      <c r="C75" s="19"/>
      <c r="D75" s="19"/>
      <c r="F75" s="42">
        <v>41569.869552733013</v>
      </c>
      <c r="G75" s="42">
        <v>246516.48033401699</v>
      </c>
      <c r="H75" s="46">
        <v>61265.270818357982</v>
      </c>
      <c r="I75" s="46">
        <f>86423.3280185311-1907.3</f>
        <v>84516.028018531098</v>
      </c>
      <c r="J75" s="42">
        <f>165083.872662879+5363</f>
        <v>170446.872662879</v>
      </c>
      <c r="K75" s="42">
        <f>110003.902980196+25376.5-2342.3</f>
        <v>133038.10298019601</v>
      </c>
      <c r="L75" s="42">
        <v>182928.00032807598</v>
      </c>
      <c r="M75" s="42">
        <v>152863.95013636901</v>
      </c>
      <c r="N75" s="42">
        <v>343051.32636941102</v>
      </c>
      <c r="O75" s="42">
        <v>-17370.230188409299</v>
      </c>
      <c r="P75" s="42">
        <v>351319.80301752698</v>
      </c>
      <c r="Q75" s="42">
        <f>206532.9-263.5</f>
        <v>206269.4</v>
      </c>
      <c r="R75" s="42">
        <v>114767.01841884</v>
      </c>
      <c r="S75" s="46">
        <v>239355.46749253297</v>
      </c>
      <c r="T75" s="46">
        <v>358297.27229377802</v>
      </c>
      <c r="U75" s="46">
        <f>220053.803020868+97675</f>
        <v>317728.80302086798</v>
      </c>
      <c r="V75" s="46">
        <f>186088.901817639-2412.4</f>
        <v>183676.50181763901</v>
      </c>
      <c r="W75" s="19"/>
      <c r="X75" s="19"/>
      <c r="Y75" s="19"/>
      <c r="Z75" s="19"/>
      <c r="AA75" s="19"/>
      <c r="AB75" s="19"/>
      <c r="AC75" s="19"/>
      <c r="AD75" s="19"/>
      <c r="AK75" s="42"/>
    </row>
    <row r="76" spans="1:41">
      <c r="B76" s="42" t="s">
        <v>42</v>
      </c>
      <c r="C76" s="7"/>
      <c r="D76" s="7"/>
      <c r="F76" s="42">
        <v>2678.8902391220008</v>
      </c>
      <c r="G76" s="42">
        <v>9330.4638268599992</v>
      </c>
      <c r="H76" s="46">
        <v>32776.22342657009</v>
      </c>
      <c r="I76" s="42">
        <v>9001.385241618651</v>
      </c>
      <c r="J76" s="42">
        <v>27166.00128004306</v>
      </c>
      <c r="K76" s="42">
        <v>41035.254152035603</v>
      </c>
      <c r="L76" s="42">
        <v>36879.922173205581</v>
      </c>
      <c r="M76" s="42">
        <v>127818.90818807439</v>
      </c>
      <c r="N76" s="42">
        <v>22945.368393728993</v>
      </c>
      <c r="O76" s="42">
        <v>130840.39804114203</v>
      </c>
      <c r="P76" s="42">
        <v>5574.8917071888</v>
      </c>
      <c r="Q76" s="42">
        <v>12210.666171883</v>
      </c>
      <c r="R76" s="42">
        <v>234248.75943226521</v>
      </c>
      <c r="S76" s="42">
        <v>-1806.3515152931998</v>
      </c>
      <c r="T76" s="42">
        <v>-23738.1602368856</v>
      </c>
      <c r="U76" s="42">
        <v>-43787.54832320015</v>
      </c>
      <c r="V76" s="42">
        <v>10718.665171291897</v>
      </c>
      <c r="AK76" s="42"/>
    </row>
    <row r="77" spans="1:41" ht="13.5" thickBot="1">
      <c r="B77" s="27"/>
      <c r="C77" s="10"/>
      <c r="D77" s="10"/>
      <c r="E77" s="9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10"/>
      <c r="X77" s="10"/>
      <c r="Y77" s="10"/>
      <c r="Z77" s="10"/>
      <c r="AA77" s="10"/>
      <c r="AB77" s="10"/>
      <c r="AC77" s="10"/>
      <c r="AD77" s="10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1:41" ht="15" thickTop="1">
      <c r="B78" s="47" t="s">
        <v>82</v>
      </c>
      <c r="C78" s="48">
        <v>11613320</v>
      </c>
      <c r="D78" s="48">
        <v>13889052.9</v>
      </c>
      <c r="E78" s="48">
        <v>16208974.699999999</v>
      </c>
      <c r="F78" s="48">
        <v>17626147.699999999</v>
      </c>
      <c r="G78" s="48">
        <v>19802010.600000001</v>
      </c>
      <c r="H78" s="102">
        <v>21623524.600000001</v>
      </c>
      <c r="I78" s="102">
        <v>23752868.600000001</v>
      </c>
      <c r="J78" s="102">
        <v>25462954.600000001</v>
      </c>
      <c r="K78" s="102">
        <v>28001327.600000001</v>
      </c>
      <c r="L78" s="102">
        <v>30401903.199999999</v>
      </c>
      <c r="M78" s="102">
        <v>32056288.199999999</v>
      </c>
      <c r="N78" s="102">
        <v>34343647.5</v>
      </c>
      <c r="O78" s="102">
        <v>36014718.700000003</v>
      </c>
      <c r="P78" s="102">
        <v>37832149.784087852</v>
      </c>
      <c r="Q78" s="102">
        <v>36495246.08175943</v>
      </c>
      <c r="R78" s="48">
        <v>40326625.935924627</v>
      </c>
      <c r="S78" s="48">
        <v>45947436.696254477</v>
      </c>
      <c r="T78" s="48">
        <v>47610984.706517927</v>
      </c>
      <c r="U78" s="48">
        <v>49819173.500286385</v>
      </c>
      <c r="V78" s="48">
        <v>51812301.787569433</v>
      </c>
      <c r="W78" s="48"/>
      <c r="X78" s="48"/>
      <c r="Y78" s="48"/>
      <c r="Z78" s="48"/>
      <c r="AA78" s="48"/>
      <c r="AB78" s="48"/>
      <c r="AC78" s="48"/>
    </row>
    <row r="80" spans="1:41" ht="14.25">
      <c r="B80" s="47" t="s">
        <v>142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8"/>
      <c r="X80" s="48"/>
      <c r="Y80" s="48"/>
      <c r="Z80" s="48"/>
      <c r="AA80" s="48"/>
      <c r="AB80" s="48"/>
      <c r="AC80" s="48"/>
      <c r="AD80" s="48"/>
    </row>
    <row r="81" spans="1:34" ht="14.25">
      <c r="B81" s="47" t="s">
        <v>83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34" ht="14.25">
      <c r="B82" s="47" t="s">
        <v>84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</row>
    <row r="83" spans="1:34" ht="14.25">
      <c r="B83" s="47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</row>
    <row r="84" spans="1:34" ht="14.25"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99"/>
      <c r="W84" s="118"/>
      <c r="X84" s="118"/>
      <c r="Y84" s="118"/>
      <c r="Z84" s="118"/>
      <c r="AA84" s="118"/>
      <c r="AB84" s="118"/>
      <c r="AC84" s="118"/>
    </row>
    <row r="85" spans="1:34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34">
      <c r="A86" s="200" t="s">
        <v>44</v>
      </c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</row>
    <row r="88" spans="1:34">
      <c r="P88" s="2"/>
      <c r="Q88" s="2"/>
      <c r="R88" s="2"/>
      <c r="S88" s="2"/>
      <c r="T88" s="2"/>
      <c r="U88" s="2"/>
      <c r="V88" s="2"/>
    </row>
    <row r="89" spans="1:34">
      <c r="P89" s="2"/>
      <c r="Q89" s="2"/>
      <c r="R89" s="2"/>
      <c r="S89" s="2"/>
      <c r="T89" s="2"/>
      <c r="U89" s="2"/>
      <c r="V89" s="2"/>
    </row>
    <row r="90" spans="1:34">
      <c r="Q90" s="51"/>
      <c r="R90" s="51"/>
      <c r="S90" s="51"/>
      <c r="T90" s="51"/>
      <c r="U90" s="51"/>
      <c r="V90" s="51"/>
    </row>
    <row r="91" spans="1:34">
      <c r="P91" s="2"/>
      <c r="Q91" s="51"/>
      <c r="R91" s="51"/>
      <c r="S91" s="51"/>
      <c r="T91" s="51"/>
      <c r="U91" s="51"/>
      <c r="V91" s="51"/>
    </row>
    <row r="92" spans="1:34">
      <c r="Q92" s="51"/>
      <c r="R92" s="51"/>
      <c r="S92" s="51"/>
      <c r="T92" s="51"/>
      <c r="U92" s="51"/>
      <c r="V92" s="51"/>
    </row>
    <row r="93" spans="1:34">
      <c r="Q93" s="51"/>
      <c r="R93" s="51"/>
      <c r="S93" s="51"/>
      <c r="T93" s="51"/>
      <c r="U93" s="51"/>
      <c r="V93" s="51"/>
    </row>
    <row r="94" spans="1:34">
      <c r="T94" s="2"/>
      <c r="U94" s="2"/>
      <c r="V94" s="2"/>
    </row>
  </sheetData>
  <mergeCells count="6">
    <mergeCell ref="A86:AH86"/>
    <mergeCell ref="A3:AN3"/>
    <mergeCell ref="A2:AN2"/>
    <mergeCell ref="A4:AN4"/>
    <mergeCell ref="W6:AN6"/>
    <mergeCell ref="C6:U6"/>
  </mergeCells>
  <phoneticPr fontId="0" type="noConversion"/>
  <pageMargins left="0.23622047244094491" right="0.27559055118110237" top="0.55118110236220474" bottom="0.19685039370078741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CFEF-CFEF-42C5-8BF3-BC7CAE0B2F34}">
  <dimension ref="A2:AS94"/>
  <sheetViews>
    <sheetView tabSelected="1" zoomScaleNormal="100" workbookViewId="0">
      <pane xSplit="2" ySplit="7" topLeftCell="P53" activePane="bottomRight" state="frozen"/>
      <selection activeCell="E9" sqref="E9"/>
      <selection pane="topRight" activeCell="E9" sqref="E9"/>
      <selection pane="bottomLeft" activeCell="E9" sqref="E9"/>
      <selection pane="bottomRight" activeCell="AU70" sqref="AU70"/>
    </sheetView>
  </sheetViews>
  <sheetFormatPr baseColWidth="10" defaultRowHeight="12.75"/>
  <cols>
    <col min="1" max="1" width="4.7109375" style="1" bestFit="1" customWidth="1"/>
    <col min="2" max="2" width="49.7109375" style="1" customWidth="1"/>
    <col min="3" max="8" width="10.7109375" style="1" hidden="1" customWidth="1"/>
    <col min="9" max="12" width="11.28515625" style="1" hidden="1" customWidth="1"/>
    <col min="13" max="15" width="11.85546875" style="1" hidden="1" customWidth="1"/>
    <col min="16" max="19" width="11.85546875" style="1" bestFit="1" customWidth="1"/>
    <col min="20" max="22" width="11.85546875" style="1" customWidth="1"/>
    <col min="23" max="23" width="7.140625" style="7" hidden="1" customWidth="1"/>
    <col min="24" max="24" width="6.140625" style="7" hidden="1" customWidth="1"/>
    <col min="25" max="25" width="7.5703125" style="7" hidden="1" customWidth="1"/>
    <col min="26" max="26" width="6.85546875" style="7" hidden="1" customWidth="1"/>
    <col min="27" max="27" width="6.140625" style="7" hidden="1" customWidth="1"/>
    <col min="28" max="28" width="7" style="7" hidden="1" customWidth="1"/>
    <col min="29" max="29" width="6.140625" style="7" hidden="1" customWidth="1"/>
    <col min="30" max="30" width="6.28515625" style="7" hidden="1" customWidth="1"/>
    <col min="31" max="32" width="7.28515625" style="1" hidden="1" customWidth="1"/>
    <col min="33" max="33" width="6.28515625" style="1" hidden="1" customWidth="1"/>
    <col min="34" max="34" width="7.5703125" style="1" hidden="1" customWidth="1"/>
    <col min="35" max="35" width="7.140625" style="1" bestFit="1" customWidth="1"/>
    <col min="36" max="36" width="6.85546875" style="1" bestFit="1" customWidth="1"/>
    <col min="37" max="37" width="7.28515625" style="1" bestFit="1" customWidth="1"/>
    <col min="38" max="40" width="6.85546875" style="1" bestFit="1" customWidth="1"/>
    <col min="41" max="41" width="6.140625" style="1" bestFit="1" customWidth="1"/>
    <col min="42" max="16384" width="11.42578125" style="1"/>
  </cols>
  <sheetData>
    <row r="2" spans="1:45">
      <c r="A2" s="201" t="s">
        <v>69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</row>
    <row r="3" spans="1:45">
      <c r="A3" s="205" t="s">
        <v>89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</row>
    <row r="4" spans="1:45">
      <c r="A4" s="204" t="s">
        <v>43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</row>
    <row r="5" spans="1:45" ht="13.5" thickBo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0"/>
      <c r="Y5" s="10"/>
      <c r="Z5" s="10"/>
      <c r="AA5" s="10"/>
      <c r="AB5" s="10"/>
      <c r="AC5" s="10"/>
      <c r="AD5" s="10"/>
      <c r="AE5" s="11"/>
      <c r="AF5" s="11"/>
      <c r="AG5" s="11"/>
      <c r="AH5" s="9"/>
      <c r="AI5" s="9"/>
      <c r="AJ5" s="9"/>
      <c r="AK5" s="9"/>
      <c r="AL5" s="9"/>
      <c r="AM5" s="9"/>
      <c r="AN5" s="9"/>
      <c r="AO5" s="9"/>
    </row>
    <row r="6" spans="1:45" ht="13.5" thickTop="1">
      <c r="C6" s="203" t="s">
        <v>47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 t="s">
        <v>19</v>
      </c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</row>
    <row r="7" spans="1:45">
      <c r="B7" s="12" t="s">
        <v>0</v>
      </c>
      <c r="C7" s="13">
        <v>2006</v>
      </c>
      <c r="D7" s="13">
        <v>2007</v>
      </c>
      <c r="E7" s="13">
        <v>2008</v>
      </c>
      <c r="F7" s="13">
        <v>2009</v>
      </c>
      <c r="G7" s="13">
        <v>2010</v>
      </c>
      <c r="H7" s="13">
        <v>2011</v>
      </c>
      <c r="I7" s="13">
        <v>2012</v>
      </c>
      <c r="J7" s="13">
        <v>2013</v>
      </c>
      <c r="K7" s="13">
        <v>2014</v>
      </c>
      <c r="L7" s="56">
        <v>2015</v>
      </c>
      <c r="M7" s="56">
        <v>2016</v>
      </c>
      <c r="N7" s="56">
        <v>2017</v>
      </c>
      <c r="O7" s="56">
        <v>2018</v>
      </c>
      <c r="P7" s="56">
        <v>2019</v>
      </c>
      <c r="Q7" s="56">
        <v>2020</v>
      </c>
      <c r="R7" s="56">
        <v>2021</v>
      </c>
      <c r="S7" s="56">
        <v>2022</v>
      </c>
      <c r="T7" s="56">
        <v>2023</v>
      </c>
      <c r="U7" s="56">
        <v>2024</v>
      </c>
      <c r="V7" s="56">
        <v>2025</v>
      </c>
      <c r="W7" s="14" t="s">
        <v>55</v>
      </c>
      <c r="X7" s="14" t="s">
        <v>56</v>
      </c>
      <c r="Y7" s="14" t="s">
        <v>57</v>
      </c>
      <c r="Z7" s="14" t="s">
        <v>58</v>
      </c>
      <c r="AA7" s="14" t="s">
        <v>59</v>
      </c>
      <c r="AB7" s="14" t="s">
        <v>60</v>
      </c>
      <c r="AC7" s="14" t="s">
        <v>61</v>
      </c>
      <c r="AD7" s="14" t="s">
        <v>62</v>
      </c>
      <c r="AE7" s="14" t="s">
        <v>63</v>
      </c>
      <c r="AF7" s="14" t="s">
        <v>64</v>
      </c>
      <c r="AG7" s="14" t="s">
        <v>65</v>
      </c>
      <c r="AH7" s="14" t="s">
        <v>78</v>
      </c>
      <c r="AI7" s="14" t="s">
        <v>66</v>
      </c>
      <c r="AJ7" s="14" t="s">
        <v>67</v>
      </c>
      <c r="AK7" s="14" t="s">
        <v>68</v>
      </c>
      <c r="AL7" s="14" t="s">
        <v>70</v>
      </c>
      <c r="AM7" s="14" t="s">
        <v>77</v>
      </c>
      <c r="AN7" s="14" t="s">
        <v>79</v>
      </c>
      <c r="AO7" s="14" t="s">
        <v>81</v>
      </c>
    </row>
    <row r="8" spans="1:45">
      <c r="C8" s="7"/>
      <c r="D8" s="7"/>
    </row>
    <row r="9" spans="1:45" ht="14.25">
      <c r="A9" s="1">
        <v>1</v>
      </c>
      <c r="B9" s="4" t="s">
        <v>53</v>
      </c>
      <c r="C9" s="22">
        <f t="shared" ref="C9:V9" si="0">+C11+C34</f>
        <v>1638352.6570784003</v>
      </c>
      <c r="D9" s="22">
        <f t="shared" si="0"/>
        <v>2104700.9525311803</v>
      </c>
      <c r="E9" s="22">
        <f t="shared" si="0"/>
        <v>2490030.6117988396</v>
      </c>
      <c r="F9" s="22">
        <f t="shared" si="0"/>
        <v>2363265.7024483606</v>
      </c>
      <c r="G9" s="22">
        <f t="shared" si="0"/>
        <v>2743180.1401412901</v>
      </c>
      <c r="H9" s="22">
        <f t="shared" si="0"/>
        <v>3024429.2365081501</v>
      </c>
      <c r="I9" s="22">
        <f t="shared" si="0"/>
        <v>3274301.1668322701</v>
      </c>
      <c r="J9" s="22">
        <f t="shared" si="0"/>
        <v>3537315.6617513006</v>
      </c>
      <c r="K9" s="22">
        <f t="shared" si="0"/>
        <v>3799979.6265352108</v>
      </c>
      <c r="L9" s="22">
        <f t="shared" si="0"/>
        <v>4180896.4810463199</v>
      </c>
      <c r="M9" s="22">
        <f t="shared" si="0"/>
        <v>4568069.2401090004</v>
      </c>
      <c r="N9" s="22">
        <f t="shared" si="0"/>
        <v>4745798.388479461</v>
      </c>
      <c r="O9" s="22">
        <f t="shared" si="0"/>
        <v>4956655.4602420004</v>
      </c>
      <c r="P9" s="22">
        <f t="shared" si="0"/>
        <v>5362976.6534592696</v>
      </c>
      <c r="Q9" s="22">
        <f t="shared" si="0"/>
        <v>4776316.4434416499</v>
      </c>
      <c r="R9" s="22">
        <f t="shared" si="0"/>
        <v>6326210.8092208998</v>
      </c>
      <c r="S9" s="22">
        <f t="shared" si="0"/>
        <v>7341174.2778993305</v>
      </c>
      <c r="T9" s="22">
        <f t="shared" si="0"/>
        <v>7182231.5229594689</v>
      </c>
      <c r="U9" s="22">
        <f t="shared" si="0"/>
        <v>7410061.3097422998</v>
      </c>
      <c r="V9" s="22">
        <f t="shared" si="0"/>
        <v>7470557.8627761593</v>
      </c>
      <c r="W9" s="61">
        <f t="shared" ref="W9:AO9" si="1">+D9/C9-1</f>
        <v>0.28464463584073396</v>
      </c>
      <c r="X9" s="61">
        <f t="shared" si="1"/>
        <v>0.18308047934517702</v>
      </c>
      <c r="Y9" s="61">
        <f t="shared" si="1"/>
        <v>-5.0908976279171902E-2</v>
      </c>
      <c r="Z9" s="61">
        <f t="shared" si="1"/>
        <v>0.1607582411488202</v>
      </c>
      <c r="AA9" s="61">
        <f t="shared" si="1"/>
        <v>0.10252665956978446</v>
      </c>
      <c r="AB9" s="61">
        <f t="shared" si="1"/>
        <v>8.2617879535052063E-2</v>
      </c>
      <c r="AC9" s="61">
        <f t="shared" si="1"/>
        <v>8.0326909932199264E-2</v>
      </c>
      <c r="AD9" s="61">
        <f t="shared" si="1"/>
        <v>7.425516688376832E-2</v>
      </c>
      <c r="AE9" s="61">
        <f t="shared" si="1"/>
        <v>0.10024181494320961</v>
      </c>
      <c r="AF9" s="61">
        <f t="shared" si="1"/>
        <v>9.2605201017984973E-2</v>
      </c>
      <c r="AG9" s="61">
        <f t="shared" si="1"/>
        <v>3.8906842043887169E-2</v>
      </c>
      <c r="AH9" s="61">
        <f t="shared" si="1"/>
        <v>4.4430263256526104E-2</v>
      </c>
      <c r="AI9" s="61">
        <f t="shared" si="1"/>
        <v>8.1974871256722537E-2</v>
      </c>
      <c r="AJ9" s="61">
        <f t="shared" si="1"/>
        <v>-0.10939078200894414</v>
      </c>
      <c r="AK9" s="61">
        <f t="shared" si="1"/>
        <v>0.32449574565089945</v>
      </c>
      <c r="AL9" s="61">
        <f t="shared" si="1"/>
        <v>0.16043781961850678</v>
      </c>
      <c r="AM9" s="61">
        <f t="shared" si="1"/>
        <v>-2.1650862508244773E-2</v>
      </c>
      <c r="AN9" s="61">
        <f t="shared" si="1"/>
        <v>3.1721309185665625E-2</v>
      </c>
      <c r="AO9" s="61">
        <f t="shared" si="1"/>
        <v>8.1641096483671127E-3</v>
      </c>
      <c r="AQ9" s="2"/>
      <c r="AR9" s="2"/>
      <c r="AS9" s="2"/>
    </row>
    <row r="10" spans="1:45">
      <c r="B10" s="4"/>
      <c r="C10" s="51"/>
      <c r="D10" s="2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</row>
    <row r="11" spans="1:45">
      <c r="B11" s="4" t="s">
        <v>30</v>
      </c>
      <c r="C11" s="21">
        <f t="shared" ref="C11:V11" si="2">+C12+C30+C31+C32</f>
        <v>1637788.0750836702</v>
      </c>
      <c r="D11" s="21">
        <f t="shared" si="2"/>
        <v>2104451.0525311804</v>
      </c>
      <c r="E11" s="21">
        <f t="shared" si="2"/>
        <v>2489551.1900668396</v>
      </c>
      <c r="F11" s="21">
        <f t="shared" si="2"/>
        <v>2359138.1674483605</v>
      </c>
      <c r="G11" s="21">
        <f t="shared" si="2"/>
        <v>2741625.4586722003</v>
      </c>
      <c r="H11" s="21">
        <f t="shared" si="2"/>
        <v>3024133.8897881801</v>
      </c>
      <c r="I11" s="21">
        <f t="shared" si="2"/>
        <v>3270367.9168322701</v>
      </c>
      <c r="J11" s="21">
        <f t="shared" si="2"/>
        <v>3536202.4468546305</v>
      </c>
      <c r="K11" s="21">
        <f t="shared" si="2"/>
        <v>3797519.5801625806</v>
      </c>
      <c r="L11" s="21">
        <f t="shared" si="2"/>
        <v>4180153.3064731001</v>
      </c>
      <c r="M11" s="21">
        <f t="shared" si="2"/>
        <v>4561222.9023810104</v>
      </c>
      <c r="N11" s="21">
        <f t="shared" si="2"/>
        <v>4738744.119284031</v>
      </c>
      <c r="O11" s="21">
        <f t="shared" si="2"/>
        <v>4925246.29202051</v>
      </c>
      <c r="P11" s="21">
        <f t="shared" si="2"/>
        <v>5262600.9784592697</v>
      </c>
      <c r="Q11" s="21">
        <f t="shared" si="2"/>
        <v>4694707.9704806497</v>
      </c>
      <c r="R11" s="21">
        <f t="shared" si="2"/>
        <v>6319675.8602759</v>
      </c>
      <c r="S11" s="21">
        <f t="shared" si="2"/>
        <v>7333564.1428093305</v>
      </c>
      <c r="T11" s="21">
        <f t="shared" si="2"/>
        <v>7174880.7782914685</v>
      </c>
      <c r="U11" s="21">
        <f t="shared" si="2"/>
        <v>7402459.5911382996</v>
      </c>
      <c r="V11" s="21">
        <f t="shared" si="2"/>
        <v>7454128.9124684194</v>
      </c>
      <c r="W11" s="57">
        <f t="shared" ref="W11:W27" si="3">+D11/C11-1</f>
        <v>0.28493489758964663</v>
      </c>
      <c r="X11" s="57">
        <f t="shared" ref="X11:X27" si="4">+E11/D11-1</f>
        <v>0.18299315494768598</v>
      </c>
      <c r="Y11" s="57">
        <f t="shared" ref="Y11:Y27" si="5">+F11/E11-1</f>
        <v>-5.2384149857540252E-2</v>
      </c>
      <c r="Z11" s="57">
        <f t="shared" ref="Z11:Z27" si="6">+G11/F11-1</f>
        <v>0.1621300933118035</v>
      </c>
      <c r="AA11" s="57">
        <f t="shared" ref="AA11:AA27" si="7">+H11/G11-1</f>
        <v>0.10304413763826137</v>
      </c>
      <c r="AB11" s="57">
        <f t="shared" ref="AB11:AB27" si="8">+I11/H11-1</f>
        <v>8.1422991182886095E-2</v>
      </c>
      <c r="AC11" s="57">
        <f t="shared" ref="AC11:AC27" si="9">+J11/I11-1</f>
        <v>8.1285817615240008E-2</v>
      </c>
      <c r="AD11" s="57">
        <f t="shared" ref="AD11:AD27" si="10">+K11/J11-1</f>
        <v>7.3897673347402826E-2</v>
      </c>
      <c r="AE11" s="57">
        <f t="shared" ref="AE11:AE27" si="11">+L11/K11-1</f>
        <v>0.10075885541428553</v>
      </c>
      <c r="AF11" s="57">
        <f t="shared" ref="AF11:AF27" si="12">+M11/L11-1</f>
        <v>9.1161631636287543E-2</v>
      </c>
      <c r="AG11" s="57">
        <f t="shared" ref="AG11:AG27" si="13">+N11/M11-1</f>
        <v>3.8919653939813559E-2</v>
      </c>
      <c r="AH11" s="57">
        <f t="shared" ref="AH11:AH27" si="14">+O11/N11-1</f>
        <v>3.9356877696248516E-2</v>
      </c>
      <c r="AI11" s="57">
        <f t="shared" ref="AI11:AI27" si="15">+P11/O11-1</f>
        <v>6.8494988156290848E-2</v>
      </c>
      <c r="AJ11" s="57">
        <f t="shared" ref="AJ11:AJ27" si="16">+Q11/P11-1</f>
        <v>-0.10791109003002575</v>
      </c>
      <c r="AK11" s="57">
        <f t="shared" ref="AK11:AK27" si="17">+R11/Q11-1</f>
        <v>0.34612757598826405</v>
      </c>
      <c r="AL11" s="57">
        <f t="shared" ref="AL11:AL27" si="18">+S11/R11-1</f>
        <v>0.16043358946722419</v>
      </c>
      <c r="AM11" s="57">
        <f t="shared" ref="AM11:AM27" si="19">+T11/S11-1</f>
        <v>-2.1637959582511246E-2</v>
      </c>
      <c r="AN11" s="57">
        <f t="shared" ref="AN11:AO27" si="20">+U11/T11-1</f>
        <v>3.1718828490558293E-2</v>
      </c>
      <c r="AO11" s="57">
        <f t="shared" si="20"/>
        <v>6.9800207206769382E-3</v>
      </c>
      <c r="AR11" s="2"/>
    </row>
    <row r="12" spans="1:45">
      <c r="B12" s="23" t="s">
        <v>29</v>
      </c>
      <c r="C12" s="51">
        <v>1577732.9895288001</v>
      </c>
      <c r="D12" s="2">
        <f t="shared" ref="D12:O12" si="21">+D13+D14+D17+D21+D24+D27</f>
        <v>2028941.8248715103</v>
      </c>
      <c r="E12" s="2">
        <f t="shared" si="21"/>
        <v>2408578.6251181997</v>
      </c>
      <c r="F12" s="2">
        <f t="shared" si="21"/>
        <v>2262289.9432246601</v>
      </c>
      <c r="G12" s="2">
        <f t="shared" si="21"/>
        <v>2491652.0617055204</v>
      </c>
      <c r="H12" s="2">
        <f t="shared" si="21"/>
        <v>2769332.9123179298</v>
      </c>
      <c r="I12" s="2">
        <f t="shared" si="21"/>
        <v>3007922.1874143099</v>
      </c>
      <c r="J12" s="2">
        <f t="shared" si="21"/>
        <v>3292308.8412788101</v>
      </c>
      <c r="K12" s="2">
        <f t="shared" si="21"/>
        <v>3522442.4928145306</v>
      </c>
      <c r="L12" s="2">
        <f t="shared" si="21"/>
        <v>3861913.1156655797</v>
      </c>
      <c r="M12" s="2">
        <f t="shared" si="21"/>
        <v>4167739.8039435898</v>
      </c>
      <c r="N12" s="2">
        <f t="shared" si="21"/>
        <v>4390868.8308402104</v>
      </c>
      <c r="O12" s="2">
        <f t="shared" si="21"/>
        <v>4567131.6391192796</v>
      </c>
      <c r="P12" s="2">
        <f>+P13+P14+P17+P21+P24+P27</f>
        <v>4889569.7158468701</v>
      </c>
      <c r="Q12" s="2">
        <f>+Q13+Q14+Q17+Q21+Q24+Q27</f>
        <v>4341328.5597475898</v>
      </c>
      <c r="R12" s="2">
        <f>+R13+R14+R17+R21+R24+R27</f>
        <v>5566245.5827653995</v>
      </c>
      <c r="S12" s="2">
        <f>+S13+S14+S17+S21+S24+S27+S28+S29</f>
        <v>6311923.2710615601</v>
      </c>
      <c r="T12" s="2">
        <f>+T13+T14+T17+T21+T24+T27+T28+T29</f>
        <v>6423191.3351950692</v>
      </c>
      <c r="U12" s="2">
        <f>+U13+U14+U17+U21+U24+U27+U28+U29</f>
        <v>6576751.94961356</v>
      </c>
      <c r="V12" s="2">
        <f>+V13+V14+V17+V21+V24+V27+V28+V29</f>
        <v>6623186.1761323093</v>
      </c>
      <c r="W12" s="58">
        <f t="shared" si="3"/>
        <v>0.28598554909944962</v>
      </c>
      <c r="X12" s="58">
        <f t="shared" si="4"/>
        <v>0.18711073703196557</v>
      </c>
      <c r="Y12" s="58">
        <f t="shared" si="5"/>
        <v>-6.0736519193497651E-2</v>
      </c>
      <c r="Z12" s="58">
        <f t="shared" si="6"/>
        <v>0.10138493483904565</v>
      </c>
      <c r="AA12" s="58">
        <f t="shared" si="7"/>
        <v>0.11144447287810255</v>
      </c>
      <c r="AB12" s="58">
        <f t="shared" si="8"/>
        <v>8.6154060436410607E-2</v>
      </c>
      <c r="AC12" s="58">
        <f t="shared" si="9"/>
        <v>9.4545881224728845E-2</v>
      </c>
      <c r="AD12" s="58">
        <f t="shared" si="10"/>
        <v>6.9900383782443454E-2</v>
      </c>
      <c r="AE12" s="58">
        <f t="shared" si="11"/>
        <v>9.6373645146383247E-2</v>
      </c>
      <c r="AF12" s="58">
        <f t="shared" si="12"/>
        <v>7.9190463150878632E-2</v>
      </c>
      <c r="AG12" s="58">
        <f t="shared" si="13"/>
        <v>5.3537177797301938E-2</v>
      </c>
      <c r="AH12" s="58">
        <f t="shared" si="14"/>
        <v>4.0143036622057426E-2</v>
      </c>
      <c r="AI12" s="58">
        <f t="shared" si="15"/>
        <v>7.059968974088271E-2</v>
      </c>
      <c r="AJ12" s="58">
        <f t="shared" si="16"/>
        <v>-0.11212462199331286</v>
      </c>
      <c r="AK12" s="58">
        <f t="shared" si="17"/>
        <v>0.28215257291860629</v>
      </c>
      <c r="AL12" s="58">
        <f t="shared" si="18"/>
        <v>0.13396420930563679</v>
      </c>
      <c r="AM12" s="58">
        <f t="shared" si="19"/>
        <v>1.7628234589549319E-2</v>
      </c>
      <c r="AN12" s="58">
        <f t="shared" si="20"/>
        <v>2.3907214716939018E-2</v>
      </c>
      <c r="AO12" s="58">
        <f t="shared" si="20"/>
        <v>7.0603584983128798E-3</v>
      </c>
      <c r="AR12" s="2"/>
    </row>
    <row r="13" spans="1:45">
      <c r="B13" s="24" t="s">
        <v>22</v>
      </c>
      <c r="C13" s="51">
        <v>394095.13094150997</v>
      </c>
      <c r="D13" s="2">
        <v>531551.76660392992</v>
      </c>
      <c r="E13" s="2">
        <v>689224.63711429993</v>
      </c>
      <c r="F13" s="2">
        <v>687420.23439278989</v>
      </c>
      <c r="G13" s="45">
        <v>748093.58276808995</v>
      </c>
      <c r="H13" s="45">
        <v>828692.33210570994</v>
      </c>
      <c r="I13" s="45">
        <f>891668.38359978</f>
        <v>891668.38359978003</v>
      </c>
      <c r="J13" s="45">
        <v>1014439.20384889</v>
      </c>
      <c r="K13" s="45">
        <v>1091470.0777788199</v>
      </c>
      <c r="L13" s="45">
        <v>1247308.4302087901</v>
      </c>
      <c r="M13" s="45">
        <v>1416217.7939102799</v>
      </c>
      <c r="N13" s="45">
        <v>1562063.0483265098</v>
      </c>
      <c r="O13" s="45">
        <v>1699258.4059937201</v>
      </c>
      <c r="P13" s="45">
        <v>1854866.3168698498</v>
      </c>
      <c r="Q13" s="45">
        <v>1651248.8665315702</v>
      </c>
      <c r="R13" s="45">
        <v>2065789.29584113</v>
      </c>
      <c r="S13" s="45">
        <v>2432639.5116810203</v>
      </c>
      <c r="T13" s="45">
        <v>2489183.0741479695</v>
      </c>
      <c r="U13" s="45">
        <v>2423250.90446684</v>
      </c>
      <c r="V13" s="45">
        <v>2450299.9234390496</v>
      </c>
      <c r="W13" s="58">
        <f t="shared" si="3"/>
        <v>0.34879049465551692</v>
      </c>
      <c r="X13" s="58">
        <f t="shared" si="4"/>
        <v>0.29662749785921649</v>
      </c>
      <c r="Y13" s="58">
        <f t="shared" si="5"/>
        <v>-2.6180183126721657E-3</v>
      </c>
      <c r="Z13" s="58">
        <f t="shared" si="6"/>
        <v>8.826238353151461E-2</v>
      </c>
      <c r="AA13" s="58">
        <f t="shared" si="7"/>
        <v>0.10773885940765471</v>
      </c>
      <c r="AB13" s="58">
        <f t="shared" si="8"/>
        <v>7.5994490420887351E-2</v>
      </c>
      <c r="AC13" s="58">
        <f t="shared" si="9"/>
        <v>0.13768663609386755</v>
      </c>
      <c r="AD13" s="58">
        <f t="shared" si="10"/>
        <v>7.5934441056365598E-2</v>
      </c>
      <c r="AE13" s="58">
        <f t="shared" si="11"/>
        <v>0.14277840098659111</v>
      </c>
      <c r="AF13" s="58">
        <f t="shared" si="12"/>
        <v>0.13541908289132265</v>
      </c>
      <c r="AG13" s="58">
        <f t="shared" si="13"/>
        <v>0.10298222140927948</v>
      </c>
      <c r="AH13" s="58">
        <f t="shared" si="14"/>
        <v>8.7829590370370969E-2</v>
      </c>
      <c r="AI13" s="58">
        <f t="shared" si="15"/>
        <v>9.1574012714758846E-2</v>
      </c>
      <c r="AJ13" s="58">
        <f t="shared" si="16"/>
        <v>-0.10977473065654186</v>
      </c>
      <c r="AK13" s="58">
        <f t="shared" si="17"/>
        <v>0.2510466094552406</v>
      </c>
      <c r="AL13" s="58">
        <f t="shared" si="18"/>
        <v>0.17758355926155556</v>
      </c>
      <c r="AM13" s="58">
        <f t="shared" si="19"/>
        <v>2.3243707995138196E-2</v>
      </c>
      <c r="AN13" s="58">
        <f t="shared" si="20"/>
        <v>-2.6487473085400781E-2</v>
      </c>
      <c r="AO13" s="58">
        <f t="shared" si="20"/>
        <v>1.1162285722188026E-2</v>
      </c>
      <c r="AR13" s="2"/>
    </row>
    <row r="14" spans="1:45">
      <c r="B14" s="24" t="s">
        <v>23</v>
      </c>
      <c r="C14" s="51">
        <v>105742.51598153001</v>
      </c>
      <c r="D14" s="2">
        <f t="shared" ref="D14:O14" si="22">+D15+D16</f>
        <v>134576.00270678001</v>
      </c>
      <c r="E14" s="2">
        <f t="shared" si="22"/>
        <v>156816.03805166</v>
      </c>
      <c r="F14" s="2">
        <f t="shared" si="22"/>
        <v>117255.97644725</v>
      </c>
      <c r="G14" s="2">
        <f t="shared" si="22"/>
        <v>126134.42404000001</v>
      </c>
      <c r="H14" s="2">
        <f t="shared" si="22"/>
        <v>146510.34128706</v>
      </c>
      <c r="I14" s="2">
        <f t="shared" si="22"/>
        <v>152274.36630224</v>
      </c>
      <c r="J14" s="2">
        <f t="shared" si="22"/>
        <v>154576.07569920999</v>
      </c>
      <c r="K14" s="2">
        <f t="shared" si="22"/>
        <v>169119.85756544</v>
      </c>
      <c r="L14" s="2">
        <f t="shared" si="22"/>
        <v>174568.16672278999</v>
      </c>
      <c r="M14" s="2">
        <f t="shared" si="22"/>
        <v>185544.30325696999</v>
      </c>
      <c r="N14" s="2">
        <f t="shared" si="22"/>
        <v>179187.91235863999</v>
      </c>
      <c r="O14" s="2">
        <f t="shared" si="22"/>
        <v>175367.64895887001</v>
      </c>
      <c r="P14" s="2">
        <f t="shared" ref="P14:V14" si="23">+P15+P16</f>
        <v>164224.01437465003</v>
      </c>
      <c r="Q14" s="2">
        <f t="shared" si="23"/>
        <v>133732.90662930999</v>
      </c>
      <c r="R14" s="2">
        <f t="shared" si="23"/>
        <v>182035.65710262998</v>
      </c>
      <c r="S14" s="2">
        <f t="shared" si="23"/>
        <v>171134.01006999999</v>
      </c>
      <c r="T14" s="2">
        <f t="shared" si="23"/>
        <v>169214.58962420002</v>
      </c>
      <c r="U14" s="2">
        <f t="shared" si="23"/>
        <v>187398.19174947997</v>
      </c>
      <c r="V14" s="2">
        <f t="shared" si="23"/>
        <v>198214.05706690002</v>
      </c>
      <c r="W14" s="58">
        <f t="shared" si="3"/>
        <v>0.27267638241448999</v>
      </c>
      <c r="X14" s="58">
        <f t="shared" si="4"/>
        <v>0.16526003817588153</v>
      </c>
      <c r="Y14" s="58">
        <f t="shared" si="5"/>
        <v>-0.25227050814392915</v>
      </c>
      <c r="Z14" s="58">
        <f t="shared" si="6"/>
        <v>7.5718508017748487E-2</v>
      </c>
      <c r="AA14" s="58">
        <f t="shared" si="7"/>
        <v>0.16154128741729012</v>
      </c>
      <c r="AB14" s="58">
        <f t="shared" si="8"/>
        <v>3.9342103530333405E-2</v>
      </c>
      <c r="AC14" s="58">
        <f t="shared" si="9"/>
        <v>1.5115540802195682E-2</v>
      </c>
      <c r="AD14" s="58">
        <f t="shared" si="10"/>
        <v>9.4088181501843726E-2</v>
      </c>
      <c r="AE14" s="58">
        <f t="shared" si="11"/>
        <v>3.2215667845165941E-2</v>
      </c>
      <c r="AF14" s="58">
        <f t="shared" si="12"/>
        <v>6.2875934027593061E-2</v>
      </c>
      <c r="AG14" s="58">
        <f t="shared" si="13"/>
        <v>-3.4258076301737495E-2</v>
      </c>
      <c r="AH14" s="58">
        <f t="shared" si="14"/>
        <v>-2.1319872247430594E-2</v>
      </c>
      <c r="AI14" s="58">
        <f t="shared" si="15"/>
        <v>-6.354441455067672E-2</v>
      </c>
      <c r="AJ14" s="58">
        <f t="shared" si="16"/>
        <v>-0.18566777740422058</v>
      </c>
      <c r="AK14" s="58">
        <f t="shared" si="17"/>
        <v>0.36118821979401705</v>
      </c>
      <c r="AL14" s="58">
        <f t="shared" si="18"/>
        <v>-5.9887426486360029E-2</v>
      </c>
      <c r="AM14" s="58">
        <f t="shared" si="19"/>
        <v>-1.1215891248121057E-2</v>
      </c>
      <c r="AN14" s="58">
        <f t="shared" si="20"/>
        <v>0.10745883180441473</v>
      </c>
      <c r="AO14" s="58">
        <f t="shared" si="20"/>
        <v>5.7715953480912185E-2</v>
      </c>
      <c r="AR14" s="2"/>
    </row>
    <row r="15" spans="1:45">
      <c r="B15" s="25" t="s">
        <v>34</v>
      </c>
      <c r="C15" s="51">
        <v>84744.606180190007</v>
      </c>
      <c r="D15" s="2">
        <v>107565.33862555001</v>
      </c>
      <c r="E15" s="2">
        <v>124550.33551235999</v>
      </c>
      <c r="F15" s="2">
        <v>97000.942557300004</v>
      </c>
      <c r="G15" s="2">
        <v>103850.51145297001</v>
      </c>
      <c r="H15" s="2">
        <v>122354.69174428999</v>
      </c>
      <c r="I15" s="2">
        <v>128357.66304442</v>
      </c>
      <c r="J15" s="2">
        <v>130633.89174970001</v>
      </c>
      <c r="K15" s="2">
        <v>142225.52349886001</v>
      </c>
      <c r="L15" s="2">
        <v>148666.09421416</v>
      </c>
      <c r="M15" s="2">
        <v>158558.84286839</v>
      </c>
      <c r="N15" s="2">
        <v>152755.50757712001</v>
      </c>
      <c r="O15" s="2">
        <v>149017.03619762001</v>
      </c>
      <c r="P15" s="2">
        <v>140918.87591204001</v>
      </c>
      <c r="Q15" s="2">
        <v>114776.67747707</v>
      </c>
      <c r="R15" s="2">
        <v>152133.10363922999</v>
      </c>
      <c r="S15" s="2">
        <v>137667.71289775</v>
      </c>
      <c r="T15" s="2">
        <v>138487.37571349001</v>
      </c>
      <c r="U15" s="2">
        <v>154076.18025842996</v>
      </c>
      <c r="V15" s="2">
        <v>163522.67424057002</v>
      </c>
      <c r="W15" s="58">
        <f t="shared" si="3"/>
        <v>0.26928831785278384</v>
      </c>
      <c r="X15" s="58">
        <f t="shared" si="4"/>
        <v>0.15790399680641665</v>
      </c>
      <c r="Y15" s="58">
        <f t="shared" si="5"/>
        <v>-0.22119083695544173</v>
      </c>
      <c r="Z15" s="58">
        <f t="shared" si="6"/>
        <v>7.0613426169790605E-2</v>
      </c>
      <c r="AA15" s="58">
        <f t="shared" si="7"/>
        <v>0.17818092595239476</v>
      </c>
      <c r="AB15" s="58">
        <f t="shared" si="8"/>
        <v>4.9062044246539038E-2</v>
      </c>
      <c r="AC15" s="58">
        <f t="shared" si="9"/>
        <v>1.773348510164352E-2</v>
      </c>
      <c r="AD15" s="58">
        <f t="shared" si="10"/>
        <v>8.8733724410278381E-2</v>
      </c>
      <c r="AE15" s="58">
        <f t="shared" si="11"/>
        <v>4.5284211700240995E-2</v>
      </c>
      <c r="AF15" s="58">
        <f t="shared" si="12"/>
        <v>6.6543408613258359E-2</v>
      </c>
      <c r="AG15" s="58">
        <f t="shared" si="13"/>
        <v>-3.6600514902136227E-2</v>
      </c>
      <c r="AH15" s="58">
        <f t="shared" si="14"/>
        <v>-2.4473561960524415E-2</v>
      </c>
      <c r="AI15" s="58">
        <f t="shared" si="15"/>
        <v>-5.4343855522938744E-2</v>
      </c>
      <c r="AJ15" s="58">
        <f t="shared" si="16"/>
        <v>-0.1855123968721385</v>
      </c>
      <c r="AK15" s="58">
        <f t="shared" si="17"/>
        <v>0.32547053097632173</v>
      </c>
      <c r="AL15" s="58">
        <f t="shared" si="18"/>
        <v>-9.5083781211637963E-2</v>
      </c>
      <c r="AM15" s="58">
        <f t="shared" si="19"/>
        <v>5.953921936284301E-3</v>
      </c>
      <c r="AN15" s="58">
        <f t="shared" si="20"/>
        <v>0.11256480574222794</v>
      </c>
      <c r="AO15" s="58">
        <f t="shared" si="20"/>
        <v>6.13105410991861E-2</v>
      </c>
      <c r="AR15" s="2"/>
    </row>
    <row r="16" spans="1:45">
      <c r="B16" s="25" t="s">
        <v>35</v>
      </c>
      <c r="C16" s="51">
        <v>20997.90980134</v>
      </c>
      <c r="D16" s="2">
        <v>27010.664081229999</v>
      </c>
      <c r="E16" s="2">
        <v>32265.7025393</v>
      </c>
      <c r="F16" s="2">
        <v>20255.033889949998</v>
      </c>
      <c r="G16" s="2">
        <v>22283.912587030001</v>
      </c>
      <c r="H16" s="2">
        <v>24155.649542769999</v>
      </c>
      <c r="I16" s="2">
        <v>23916.703257819994</v>
      </c>
      <c r="J16" s="2">
        <v>23942.183949509996</v>
      </c>
      <c r="K16" s="2">
        <v>26894.334066579995</v>
      </c>
      <c r="L16" s="2">
        <v>25902.072508630004</v>
      </c>
      <c r="M16" s="2">
        <v>26985.460388579999</v>
      </c>
      <c r="N16" s="2">
        <v>26432.404781519996</v>
      </c>
      <c r="O16" s="2">
        <v>26350.612761250002</v>
      </c>
      <c r="P16" s="2">
        <v>23305.138462610004</v>
      </c>
      <c r="Q16" s="2">
        <v>18956.229152240001</v>
      </c>
      <c r="R16" s="2">
        <v>29902.553463400003</v>
      </c>
      <c r="S16" s="2">
        <v>33466.297172249993</v>
      </c>
      <c r="T16" s="2">
        <v>30727.213910710001</v>
      </c>
      <c r="U16" s="2">
        <v>33322.011491049998</v>
      </c>
      <c r="V16" s="2">
        <v>34691.382826329995</v>
      </c>
      <c r="W16" s="58">
        <f t="shared" si="3"/>
        <v>0.28635013374075413</v>
      </c>
      <c r="X16" s="58">
        <f t="shared" si="4"/>
        <v>0.19455421170935905</v>
      </c>
      <c r="Y16" s="58">
        <f t="shared" si="5"/>
        <v>-0.37224258900672835</v>
      </c>
      <c r="Z16" s="58">
        <f t="shared" si="6"/>
        <v>0.10016664045606349</v>
      </c>
      <c r="AA16" s="58">
        <f t="shared" si="7"/>
        <v>8.3994987344790273E-2</v>
      </c>
      <c r="AB16" s="58">
        <f t="shared" si="8"/>
        <v>-9.8919420290034532E-3</v>
      </c>
      <c r="AC16" s="58">
        <f t="shared" si="9"/>
        <v>1.0653931445032683E-3</v>
      </c>
      <c r="AD16" s="58">
        <f t="shared" si="10"/>
        <v>0.12330329276959784</v>
      </c>
      <c r="AE16" s="58">
        <f t="shared" si="11"/>
        <v>-3.6894817900808952E-2</v>
      </c>
      <c r="AF16" s="58">
        <f t="shared" si="12"/>
        <v>4.1826300949046935E-2</v>
      </c>
      <c r="AG16" s="58">
        <f t="shared" si="13"/>
        <v>-2.0494577416735549E-2</v>
      </c>
      <c r="AH16" s="58">
        <f t="shared" si="14"/>
        <v>-3.094384371987835E-3</v>
      </c>
      <c r="AI16" s="58">
        <f t="shared" si="15"/>
        <v>-0.11557508458089949</v>
      </c>
      <c r="AJ16" s="58">
        <f t="shared" si="16"/>
        <v>-0.18660731483519177</v>
      </c>
      <c r="AK16" s="58">
        <f t="shared" si="17"/>
        <v>0.57745262642947681</v>
      </c>
      <c r="AL16" s="58">
        <f t="shared" si="18"/>
        <v>0.11917857494049544</v>
      </c>
      <c r="AM16" s="58">
        <f t="shared" si="19"/>
        <v>-8.1846021011587111E-2</v>
      </c>
      <c r="AN16" s="58">
        <f t="shared" si="20"/>
        <v>8.4446236742458991E-2</v>
      </c>
      <c r="AO16" s="58">
        <f t="shared" si="20"/>
        <v>4.1095098225021554E-2</v>
      </c>
      <c r="AR16" s="2"/>
    </row>
    <row r="17" spans="2:44">
      <c r="B17" s="24" t="s">
        <v>24</v>
      </c>
      <c r="C17" s="51">
        <v>1284.2148516500004</v>
      </c>
      <c r="D17" s="2">
        <f t="shared" ref="D17:I17" si="24">+D18+D19</f>
        <v>2432.0950409900001</v>
      </c>
      <c r="E17" s="2">
        <f t="shared" si="24"/>
        <v>4667.4063737400002</v>
      </c>
      <c r="F17" s="2">
        <f t="shared" si="24"/>
        <v>4677.2724471299998</v>
      </c>
      <c r="G17" s="2">
        <f t="shared" si="24"/>
        <v>3972.8447458700007</v>
      </c>
      <c r="H17" s="2">
        <f t="shared" si="24"/>
        <v>3990.4247101300002</v>
      </c>
      <c r="I17" s="2">
        <f t="shared" si="24"/>
        <v>3823.5893496300005</v>
      </c>
      <c r="J17" s="2">
        <f t="shared" ref="J17:O17" si="25">+J18+J19+J20</f>
        <v>4876.5267424600006</v>
      </c>
      <c r="K17" s="2">
        <f t="shared" si="25"/>
        <v>4853.2783550200002</v>
      </c>
      <c r="L17" s="2">
        <f t="shared" si="25"/>
        <v>4467.99766318</v>
      </c>
      <c r="M17" s="2">
        <f t="shared" si="25"/>
        <v>5072.7466691200007</v>
      </c>
      <c r="N17" s="2">
        <f t="shared" si="25"/>
        <v>5638.50952082</v>
      </c>
      <c r="O17" s="2">
        <f t="shared" si="25"/>
        <v>5467.7403560099992</v>
      </c>
      <c r="P17" s="2">
        <f t="shared" ref="P17:V17" si="26">+P18+P19+P20</f>
        <v>5411.8859709999997</v>
      </c>
      <c r="Q17" s="2">
        <f t="shared" si="26"/>
        <v>5470.5584669700002</v>
      </c>
      <c r="R17" s="2">
        <f t="shared" si="26"/>
        <v>6274.1121763300007</v>
      </c>
      <c r="S17" s="2">
        <f t="shared" si="26"/>
        <v>4842.3119075200002</v>
      </c>
      <c r="T17" s="2">
        <f t="shared" si="26"/>
        <v>5397.7201315700004</v>
      </c>
      <c r="U17" s="2">
        <f t="shared" si="26"/>
        <v>5083.7449233699999</v>
      </c>
      <c r="V17" s="2">
        <f t="shared" si="26"/>
        <v>4660.4879270100009</v>
      </c>
      <c r="W17" s="58">
        <f t="shared" si="3"/>
        <v>0.89383812051789202</v>
      </c>
      <c r="X17" s="58">
        <f t="shared" si="4"/>
        <v>0.91908880824003569</v>
      </c>
      <c r="Y17" s="58">
        <f t="shared" si="5"/>
        <v>2.113823524240166E-3</v>
      </c>
      <c r="Z17" s="58">
        <f t="shared" si="6"/>
        <v>-0.15060651463487873</v>
      </c>
      <c r="AA17" s="58">
        <f t="shared" si="7"/>
        <v>4.4250317806340256E-3</v>
      </c>
      <c r="AB17" s="58">
        <f t="shared" si="8"/>
        <v>-4.1808923264853304E-2</v>
      </c>
      <c r="AC17" s="58">
        <f t="shared" si="9"/>
        <v>0.27537930895531204</v>
      </c>
      <c r="AD17" s="58">
        <f t="shared" si="10"/>
        <v>-4.7674069410050812E-3</v>
      </c>
      <c r="AE17" s="58">
        <f t="shared" si="11"/>
        <v>-7.9385657210756189E-2</v>
      </c>
      <c r="AF17" s="58">
        <f t="shared" si="12"/>
        <v>0.13535123595153897</v>
      </c>
      <c r="AG17" s="58">
        <f t="shared" si="13"/>
        <v>0.11152988481448167</v>
      </c>
      <c r="AH17" s="58">
        <f t="shared" si="14"/>
        <v>-3.028622443208473E-2</v>
      </c>
      <c r="AI17" s="58">
        <f t="shared" si="15"/>
        <v>-1.0215259206411642E-2</v>
      </c>
      <c r="AJ17" s="58">
        <f t="shared" si="16"/>
        <v>1.0841413933035726E-2</v>
      </c>
      <c r="AK17" s="58">
        <f t="shared" si="17"/>
        <v>0.14688696121459577</v>
      </c>
      <c r="AL17" s="58">
        <f t="shared" si="18"/>
        <v>-0.2282076297920963</v>
      </c>
      <c r="AM17" s="58">
        <f t="shared" si="19"/>
        <v>0.11469897740115909</v>
      </c>
      <c r="AN17" s="58">
        <f t="shared" si="20"/>
        <v>-5.816811552781942E-2</v>
      </c>
      <c r="AO17" s="58">
        <f t="shared" si="20"/>
        <v>-8.3256930223679082E-2</v>
      </c>
      <c r="AR17" s="2"/>
    </row>
    <row r="18" spans="2:44">
      <c r="B18" s="25" t="s">
        <v>36</v>
      </c>
      <c r="C18" s="51">
        <v>1284.2148516500004</v>
      </c>
      <c r="D18" s="2">
        <v>172.16716099000001</v>
      </c>
      <c r="E18" s="2">
        <v>159.69418904000003</v>
      </c>
      <c r="F18" s="2">
        <v>142.84619370999999</v>
      </c>
      <c r="G18" s="2">
        <v>157.25380527000002</v>
      </c>
      <c r="H18" s="2">
        <v>163.35338953000002</v>
      </c>
      <c r="I18" s="2">
        <v>160.23541021999998</v>
      </c>
      <c r="J18" s="2">
        <v>168.32337481000002</v>
      </c>
      <c r="K18" s="2">
        <v>175.87881299999998</v>
      </c>
      <c r="L18" s="2">
        <v>156.3216975</v>
      </c>
      <c r="M18" s="2">
        <v>184.15137392999998</v>
      </c>
      <c r="N18" s="2">
        <v>198.95631149999997</v>
      </c>
      <c r="O18" s="2">
        <v>192.601416</v>
      </c>
      <c r="P18" s="2">
        <v>184.1584215</v>
      </c>
      <c r="Q18" s="2">
        <v>199.262013</v>
      </c>
      <c r="R18" s="2">
        <v>203.22415650000002</v>
      </c>
      <c r="S18" s="2">
        <v>149.524689</v>
      </c>
      <c r="T18" s="2">
        <v>197.95642649999996</v>
      </c>
      <c r="U18" s="2">
        <v>191.6421345</v>
      </c>
      <c r="V18" s="2">
        <v>169.89010499999998</v>
      </c>
      <c r="W18" s="58">
        <f t="shared" si="3"/>
        <v>-0.86593585896565972</v>
      </c>
      <c r="X18" s="58">
        <f t="shared" si="4"/>
        <v>-7.2446870113194506E-2</v>
      </c>
      <c r="Y18" s="58">
        <f t="shared" si="5"/>
        <v>-0.10550161800677649</v>
      </c>
      <c r="Z18" s="58">
        <f t="shared" si="6"/>
        <v>0.10086101131437708</v>
      </c>
      <c r="AA18" s="58">
        <f t="shared" si="7"/>
        <v>3.8788150464958315E-2</v>
      </c>
      <c r="AB18" s="58">
        <f t="shared" si="8"/>
        <v>-1.9087325454164583E-2</v>
      </c>
      <c r="AC18" s="58">
        <f t="shared" si="9"/>
        <v>5.047551336433953E-2</v>
      </c>
      <c r="AD18" s="58">
        <f t="shared" si="10"/>
        <v>4.4886446689465398E-2</v>
      </c>
      <c r="AE18" s="58">
        <f t="shared" si="11"/>
        <v>-0.11119654019952918</v>
      </c>
      <c r="AF18" s="58">
        <f t="shared" si="12"/>
        <v>0.17802823840241366</v>
      </c>
      <c r="AG18" s="58">
        <f t="shared" si="13"/>
        <v>8.0395477123226256E-2</v>
      </c>
      <c r="AH18" s="58">
        <f t="shared" si="14"/>
        <v>-3.1941160610026498E-2</v>
      </c>
      <c r="AI18" s="58">
        <f t="shared" si="15"/>
        <v>-4.383661696443597E-2</v>
      </c>
      <c r="AJ18" s="58">
        <f t="shared" si="16"/>
        <v>8.2014123367146752E-2</v>
      </c>
      <c r="AK18" s="58">
        <f t="shared" si="17"/>
        <v>1.9884088494077412E-2</v>
      </c>
      <c r="AL18" s="58">
        <f t="shared" si="18"/>
        <v>-0.26423762029490827</v>
      </c>
      <c r="AM18" s="58">
        <f t="shared" si="19"/>
        <v>0.32390461952407046</v>
      </c>
      <c r="AN18" s="58">
        <f t="shared" si="20"/>
        <v>-3.1897383235496846E-2</v>
      </c>
      <c r="AO18" s="58">
        <f t="shared" si="20"/>
        <v>-0.11350337730662263</v>
      </c>
      <c r="AR18" s="2"/>
    </row>
    <row r="19" spans="2:44">
      <c r="B19" s="25" t="s">
        <v>37</v>
      </c>
      <c r="C19" s="51">
        <v>0</v>
      </c>
      <c r="D19" s="2">
        <v>2259.9278800000002</v>
      </c>
      <c r="E19" s="2">
        <v>4507.7121846999999</v>
      </c>
      <c r="F19" s="2">
        <v>4534.4262534199997</v>
      </c>
      <c r="G19" s="2">
        <v>3815.5909406000005</v>
      </c>
      <c r="H19" s="2">
        <v>3827.0713206</v>
      </c>
      <c r="I19" s="2">
        <v>3663.3539394100003</v>
      </c>
      <c r="J19" s="2">
        <v>4103.53799918</v>
      </c>
      <c r="K19" s="2">
        <v>3067.2185228599997</v>
      </c>
      <c r="L19" s="2">
        <v>2700.8395331799998</v>
      </c>
      <c r="M19" s="2">
        <v>3250.2942336900005</v>
      </c>
      <c r="N19" s="2">
        <v>3673.3465718199996</v>
      </c>
      <c r="O19" s="2">
        <v>3593.5860778999995</v>
      </c>
      <c r="P19" s="2">
        <v>3501.8889202500004</v>
      </c>
      <c r="Q19" s="2">
        <v>3777.12085372</v>
      </c>
      <c r="R19" s="2">
        <v>4063.5672530800002</v>
      </c>
      <c r="S19" s="2">
        <v>3099.6189857700001</v>
      </c>
      <c r="T19" s="2">
        <v>3492.4676973200003</v>
      </c>
      <c r="U19" s="2">
        <v>3235.2886883700003</v>
      </c>
      <c r="V19" s="2">
        <v>2799.9983607600002</v>
      </c>
      <c r="W19" s="58" t="e">
        <f t="shared" si="3"/>
        <v>#DIV/0!</v>
      </c>
      <c r="X19" s="58">
        <f t="shared" si="4"/>
        <v>0.99462656511852909</v>
      </c>
      <c r="Y19" s="58">
        <f t="shared" si="5"/>
        <v>5.9263031057465998E-3</v>
      </c>
      <c r="Z19" s="58">
        <f t="shared" si="6"/>
        <v>-0.15852839425447318</v>
      </c>
      <c r="AA19" s="58">
        <f t="shared" si="7"/>
        <v>3.0088078566918863E-3</v>
      </c>
      <c r="AB19" s="58">
        <f t="shared" si="8"/>
        <v>-4.277876409272996E-2</v>
      </c>
      <c r="AC19" s="58">
        <f t="shared" si="9"/>
        <v>0.12015875808082388</v>
      </c>
      <c r="AD19" s="58">
        <f t="shared" si="10"/>
        <v>-0.25254292187061156</v>
      </c>
      <c r="AE19" s="58">
        <f t="shared" si="11"/>
        <v>-0.11944991429510965</v>
      </c>
      <c r="AF19" s="58">
        <f t="shared" si="12"/>
        <v>0.20343848413054966</v>
      </c>
      <c r="AG19" s="58">
        <f t="shared" si="13"/>
        <v>0.13015816652688561</v>
      </c>
      <c r="AH19" s="58">
        <f t="shared" si="14"/>
        <v>-2.1713304846289527E-2</v>
      </c>
      <c r="AI19" s="58">
        <f t="shared" si="15"/>
        <v>-2.5516894729173845E-2</v>
      </c>
      <c r="AJ19" s="58">
        <f t="shared" si="16"/>
        <v>7.8595278073626318E-2</v>
      </c>
      <c r="AK19" s="58">
        <f t="shared" si="17"/>
        <v>7.5837234352161609E-2</v>
      </c>
      <c r="AL19" s="58">
        <f t="shared" si="18"/>
        <v>-0.23721725451433617</v>
      </c>
      <c r="AM19" s="58">
        <f t="shared" si="19"/>
        <v>0.12674096827820591</v>
      </c>
      <c r="AN19" s="58">
        <f t="shared" si="20"/>
        <v>-7.3638192601566566E-2</v>
      </c>
      <c r="AO19" s="58">
        <f t="shared" si="20"/>
        <v>-0.13454450886400116</v>
      </c>
      <c r="AR19" s="2"/>
    </row>
    <row r="20" spans="2:44">
      <c r="B20" s="25" t="s">
        <v>48</v>
      </c>
      <c r="C20" s="51"/>
      <c r="D20" s="2"/>
      <c r="E20" s="2"/>
      <c r="F20" s="2"/>
      <c r="G20" s="2">
        <v>0</v>
      </c>
      <c r="H20" s="2">
        <v>0</v>
      </c>
      <c r="I20" s="2">
        <v>0</v>
      </c>
      <c r="J20" s="2">
        <v>604.66536847000009</v>
      </c>
      <c r="K20" s="2">
        <v>1610.1810191600002</v>
      </c>
      <c r="L20" s="2">
        <v>1610.8364325000002</v>
      </c>
      <c r="M20" s="2">
        <v>1638.3010615000003</v>
      </c>
      <c r="N20" s="2">
        <v>1766.2066374999999</v>
      </c>
      <c r="O20" s="2">
        <v>1681.5528621100002</v>
      </c>
      <c r="P20" s="2">
        <v>1725.8386292499999</v>
      </c>
      <c r="Q20" s="2">
        <v>1494.1756002500001</v>
      </c>
      <c r="R20" s="2">
        <v>2007.3207667500001</v>
      </c>
      <c r="S20" s="2">
        <v>1593.16823275</v>
      </c>
      <c r="T20" s="2">
        <v>1707.2960077499999</v>
      </c>
      <c r="U20" s="2">
        <v>1656.8141005</v>
      </c>
      <c r="V20" s="2">
        <v>1690.5994612500003</v>
      </c>
      <c r="W20" s="119" t="e">
        <f t="shared" si="3"/>
        <v>#DIV/0!</v>
      </c>
      <c r="X20" s="119" t="e">
        <f t="shared" si="4"/>
        <v>#DIV/0!</v>
      </c>
      <c r="Y20" s="119" t="e">
        <f t="shared" si="5"/>
        <v>#DIV/0!</v>
      </c>
      <c r="Z20" s="119" t="e">
        <f t="shared" si="6"/>
        <v>#DIV/0!</v>
      </c>
      <c r="AA20" s="119" t="e">
        <f t="shared" si="7"/>
        <v>#DIV/0!</v>
      </c>
      <c r="AB20" s="119" t="e">
        <f t="shared" si="8"/>
        <v>#DIV/0!</v>
      </c>
      <c r="AC20" s="119" t="e">
        <f t="shared" si="9"/>
        <v>#DIV/0!</v>
      </c>
      <c r="AD20" s="58">
        <f t="shared" si="10"/>
        <v>1.6629291226555303</v>
      </c>
      <c r="AE20" s="58">
        <f t="shared" si="11"/>
        <v>4.070432654472711E-4</v>
      </c>
      <c r="AF20" s="58">
        <f t="shared" si="12"/>
        <v>1.7049917946898807E-2</v>
      </c>
      <c r="AG20" s="58">
        <f t="shared" si="13"/>
        <v>7.8072082723850134E-2</v>
      </c>
      <c r="AH20" s="58">
        <f t="shared" si="14"/>
        <v>-4.7929711955914778E-2</v>
      </c>
      <c r="AI20" s="58">
        <f t="shared" si="15"/>
        <v>2.6336232501445345E-2</v>
      </c>
      <c r="AJ20" s="58">
        <f t="shared" si="16"/>
        <v>-0.1342321495612101</v>
      </c>
      <c r="AK20" s="58">
        <f t="shared" si="17"/>
        <v>0.34343029454780449</v>
      </c>
      <c r="AL20" s="58">
        <f t="shared" si="18"/>
        <v>-0.20632105284824187</v>
      </c>
      <c r="AM20" s="58">
        <f t="shared" si="19"/>
        <v>7.1635733536439927E-2</v>
      </c>
      <c r="AN20" s="58">
        <f t="shared" si="20"/>
        <v>-2.9568339069994454E-2</v>
      </c>
      <c r="AO20" s="58">
        <f t="shared" si="20"/>
        <v>2.0391763167517896E-2</v>
      </c>
      <c r="AR20" s="2"/>
    </row>
    <row r="21" spans="2:44">
      <c r="B21" s="24" t="s">
        <v>25</v>
      </c>
      <c r="C21" s="51">
        <v>626706.86625247006</v>
      </c>
      <c r="D21" s="2">
        <f t="shared" ref="D21:O21" si="27">+D22+D23</f>
        <v>797850.34806325007</v>
      </c>
      <c r="E21" s="2">
        <f t="shared" si="27"/>
        <v>936720.9369953</v>
      </c>
      <c r="F21" s="2">
        <f t="shared" si="27"/>
        <v>830537.90536244004</v>
      </c>
      <c r="G21" s="2">
        <f t="shared" si="27"/>
        <v>920297.73456466012</v>
      </c>
      <c r="H21" s="2">
        <f t="shared" si="27"/>
        <v>1029811.12734746</v>
      </c>
      <c r="I21" s="2">
        <f t="shared" si="27"/>
        <v>1122977.9244157001</v>
      </c>
      <c r="J21" s="2">
        <f t="shared" si="27"/>
        <v>1176744.792895</v>
      </c>
      <c r="K21" s="2">
        <f t="shared" si="27"/>
        <v>1266797.5751280999</v>
      </c>
      <c r="L21" s="2">
        <f t="shared" si="27"/>
        <v>1336074.8360045599</v>
      </c>
      <c r="M21" s="2">
        <f t="shared" si="27"/>
        <v>1414358.2629724098</v>
      </c>
      <c r="N21" s="2">
        <f t="shared" si="27"/>
        <v>1453347.8617204002</v>
      </c>
      <c r="O21" s="2">
        <f t="shared" si="27"/>
        <v>1487620.0026040399</v>
      </c>
      <c r="P21" s="2">
        <f t="shared" ref="P21:V21" si="28">+P22+P23</f>
        <v>1634985.93799891</v>
      </c>
      <c r="Q21" s="2">
        <f t="shared" si="28"/>
        <v>1623694.8326918099</v>
      </c>
      <c r="R21" s="2">
        <f t="shared" si="28"/>
        <v>2039997.0793939098</v>
      </c>
      <c r="S21" s="2">
        <f t="shared" si="28"/>
        <v>2193159.5570179401</v>
      </c>
      <c r="T21" s="2">
        <f t="shared" si="28"/>
        <v>2285858.30580363</v>
      </c>
      <c r="U21" s="2">
        <f t="shared" si="28"/>
        <v>2419493.0401066095</v>
      </c>
      <c r="V21" s="2">
        <f t="shared" si="28"/>
        <v>2407217.0660965098</v>
      </c>
      <c r="W21" s="58">
        <f t="shared" si="3"/>
        <v>0.27308378290821933</v>
      </c>
      <c r="X21" s="58">
        <f t="shared" si="4"/>
        <v>0.17405593576433565</v>
      </c>
      <c r="Y21" s="58">
        <f t="shared" si="5"/>
        <v>-0.11335609938800029</v>
      </c>
      <c r="Z21" s="58">
        <f t="shared" si="6"/>
        <v>0.10807433185490756</v>
      </c>
      <c r="AA21" s="58">
        <f t="shared" si="7"/>
        <v>0.11899778590089038</v>
      </c>
      <c r="AB21" s="58">
        <f t="shared" si="8"/>
        <v>9.0469790618999069E-2</v>
      </c>
      <c r="AC21" s="58">
        <f t="shared" si="9"/>
        <v>4.7878829414456536E-2</v>
      </c>
      <c r="AD21" s="58">
        <f t="shared" si="10"/>
        <v>7.6527028440511957E-2</v>
      </c>
      <c r="AE21" s="58">
        <f t="shared" si="11"/>
        <v>5.4686922549133099E-2</v>
      </c>
      <c r="AF21" s="58">
        <f t="shared" si="12"/>
        <v>5.8592097432170087E-2</v>
      </c>
      <c r="AG21" s="58">
        <f t="shared" si="13"/>
        <v>2.7566989049895962E-2</v>
      </c>
      <c r="AH21" s="58">
        <f t="shared" si="14"/>
        <v>2.3581512579562425E-2</v>
      </c>
      <c r="AI21" s="58">
        <f t="shared" si="15"/>
        <v>9.9061544706920968E-2</v>
      </c>
      <c r="AJ21" s="58">
        <f t="shared" si="16"/>
        <v>-6.9059342008284119E-3</v>
      </c>
      <c r="AK21" s="58">
        <f t="shared" si="17"/>
        <v>0.25639192680803302</v>
      </c>
      <c r="AL21" s="58">
        <f t="shared" si="18"/>
        <v>7.5079753383537007E-2</v>
      </c>
      <c r="AM21" s="58">
        <f t="shared" si="19"/>
        <v>4.2267216030434707E-2</v>
      </c>
      <c r="AN21" s="58">
        <f t="shared" si="20"/>
        <v>5.8461512668432025E-2</v>
      </c>
      <c r="AO21" s="58">
        <f t="shared" si="20"/>
        <v>-5.0737794267673442E-3</v>
      </c>
      <c r="AR21" s="2"/>
    </row>
    <row r="22" spans="2:44">
      <c r="B22" s="25" t="s">
        <v>26</v>
      </c>
      <c r="C22" s="51">
        <v>306955.15576264</v>
      </c>
      <c r="D22" s="2">
        <v>387047.49162280001</v>
      </c>
      <c r="E22" s="2">
        <v>442228.08513535</v>
      </c>
      <c r="F22" s="2">
        <v>451603.54142114002</v>
      </c>
      <c r="G22" s="2">
        <v>486600.17295589001</v>
      </c>
      <c r="H22" s="2">
        <v>525171.88447168004</v>
      </c>
      <c r="I22" s="2">
        <v>584637.90523312008</v>
      </c>
      <c r="J22" s="2">
        <v>631851.29849825997</v>
      </c>
      <c r="K22" s="2">
        <v>649943.04758187989</v>
      </c>
      <c r="L22" s="2">
        <v>700495.12117728998</v>
      </c>
      <c r="M22" s="2">
        <v>739878.65269658004</v>
      </c>
      <c r="N22" s="2">
        <v>755084.7966683202</v>
      </c>
      <c r="O22" s="2">
        <v>779416.34652843</v>
      </c>
      <c r="P22" s="2">
        <v>958750.11857829988</v>
      </c>
      <c r="Q22" s="2">
        <v>1027921.4188224599</v>
      </c>
      <c r="R22" s="2">
        <v>1195882.6653925898</v>
      </c>
      <c r="S22" s="2">
        <v>1353039.02065153</v>
      </c>
      <c r="T22" s="2">
        <v>1429710.0280299499</v>
      </c>
      <c r="U22" s="2">
        <v>1509890.8192241199</v>
      </c>
      <c r="V22" s="2">
        <v>1472538.7483339203</v>
      </c>
      <c r="W22" s="58">
        <f t="shared" si="3"/>
        <v>0.26092520147175247</v>
      </c>
      <c r="X22" s="58">
        <f t="shared" si="4"/>
        <v>0.14256801737996194</v>
      </c>
      <c r="Y22" s="58">
        <f t="shared" si="5"/>
        <v>2.1200499472846746E-2</v>
      </c>
      <c r="Z22" s="58">
        <f t="shared" si="6"/>
        <v>7.7494147686751891E-2</v>
      </c>
      <c r="AA22" s="58">
        <f t="shared" si="7"/>
        <v>7.9267771898812178E-2</v>
      </c>
      <c r="AB22" s="58">
        <f t="shared" si="8"/>
        <v>0.11323153908222361</v>
      </c>
      <c r="AC22" s="58">
        <f t="shared" si="9"/>
        <v>8.0756640721600048E-2</v>
      </c>
      <c r="AD22" s="58">
        <f t="shared" si="10"/>
        <v>2.863292221859659E-2</v>
      </c>
      <c r="AE22" s="58">
        <f t="shared" si="11"/>
        <v>7.7779235863033813E-2</v>
      </c>
      <c r="AF22" s="58">
        <f t="shared" si="12"/>
        <v>5.6222420868685008E-2</v>
      </c>
      <c r="AG22" s="58">
        <f t="shared" si="13"/>
        <v>2.055221341542901E-2</v>
      </c>
      <c r="AH22" s="58">
        <f t="shared" si="14"/>
        <v>3.2223599213583087E-2</v>
      </c>
      <c r="AI22" s="58">
        <f t="shared" si="15"/>
        <v>0.2300872606131934</v>
      </c>
      <c r="AJ22" s="58">
        <f t="shared" si="16"/>
        <v>7.2147370731731275E-2</v>
      </c>
      <c r="AK22" s="58">
        <f t="shared" si="17"/>
        <v>0.16339891697415809</v>
      </c>
      <c r="AL22" s="58">
        <f t="shared" si="18"/>
        <v>0.13141452736698733</v>
      </c>
      <c r="AM22" s="58">
        <f t="shared" si="19"/>
        <v>5.666577697182773E-2</v>
      </c>
      <c r="AN22" s="58">
        <f t="shared" si="20"/>
        <v>5.6081855496707966E-2</v>
      </c>
      <c r="AO22" s="58">
        <f t="shared" si="20"/>
        <v>-2.473825949176478E-2</v>
      </c>
      <c r="AR22" s="2"/>
    </row>
    <row r="23" spans="2:44">
      <c r="B23" s="25" t="s">
        <v>27</v>
      </c>
      <c r="C23" s="51">
        <v>319751.71048983006</v>
      </c>
      <c r="D23" s="2">
        <v>410802.85644045001</v>
      </c>
      <c r="E23" s="2">
        <v>494492.85185994994</v>
      </c>
      <c r="F23" s="2">
        <v>378934.36394129996</v>
      </c>
      <c r="G23" s="2">
        <v>433697.56160877005</v>
      </c>
      <c r="H23" s="2">
        <v>504639.24287578004</v>
      </c>
      <c r="I23" s="2">
        <v>538340.01918258006</v>
      </c>
      <c r="J23" s="2">
        <v>544893.49439673999</v>
      </c>
      <c r="K23" s="2">
        <v>616854.52754621988</v>
      </c>
      <c r="L23" s="2">
        <v>635579.71482727001</v>
      </c>
      <c r="M23" s="2">
        <v>674479.61027582991</v>
      </c>
      <c r="N23" s="2">
        <v>698263.06505207997</v>
      </c>
      <c r="O23" s="2">
        <v>708203.65607560996</v>
      </c>
      <c r="P23" s="2">
        <v>676235.81942060997</v>
      </c>
      <c r="Q23" s="2">
        <v>595773.41386934998</v>
      </c>
      <c r="R23" s="2">
        <v>844114.41400132002</v>
      </c>
      <c r="S23" s="2">
        <v>840120.53636640997</v>
      </c>
      <c r="T23" s="2">
        <v>856148.27777368005</v>
      </c>
      <c r="U23" s="2">
        <v>909602.22088248981</v>
      </c>
      <c r="V23" s="2">
        <v>934678.31776258978</v>
      </c>
      <c r="W23" s="58">
        <f t="shared" si="3"/>
        <v>0.28475577444492162</v>
      </c>
      <c r="X23" s="58">
        <f t="shared" si="4"/>
        <v>0.20372301240712432</v>
      </c>
      <c r="Y23" s="58">
        <f t="shared" si="5"/>
        <v>-0.23369091683326981</v>
      </c>
      <c r="Z23" s="58">
        <f t="shared" si="6"/>
        <v>0.14451895335613685</v>
      </c>
      <c r="AA23" s="58">
        <f t="shared" si="7"/>
        <v>0.16357408375517934</v>
      </c>
      <c r="AB23" s="58">
        <f t="shared" si="8"/>
        <v>6.6781917543213387E-2</v>
      </c>
      <c r="AC23" s="58">
        <f t="shared" si="9"/>
        <v>1.2173486979680126E-2</v>
      </c>
      <c r="AD23" s="58">
        <f t="shared" si="10"/>
        <v>0.13206440137287578</v>
      </c>
      <c r="AE23" s="58">
        <f t="shared" si="11"/>
        <v>3.0355920958442084E-2</v>
      </c>
      <c r="AF23" s="58">
        <f t="shared" si="12"/>
        <v>6.1203802671914387E-2</v>
      </c>
      <c r="AG23" s="58">
        <f t="shared" si="13"/>
        <v>3.5261932924145478E-2</v>
      </c>
      <c r="AH23" s="58">
        <f t="shared" si="14"/>
        <v>1.423616903292535E-2</v>
      </c>
      <c r="AI23" s="58">
        <f t="shared" si="15"/>
        <v>-4.5139327340025792E-2</v>
      </c>
      <c r="AJ23" s="58">
        <f t="shared" si="16"/>
        <v>-0.11898571953819181</v>
      </c>
      <c r="AK23" s="58">
        <f t="shared" si="17"/>
        <v>0.41683800309093666</v>
      </c>
      <c r="AL23" s="58">
        <f t="shared" si="18"/>
        <v>-4.7314411040300097E-3</v>
      </c>
      <c r="AM23" s="58">
        <f t="shared" si="19"/>
        <v>1.9077906935344613E-2</v>
      </c>
      <c r="AN23" s="58">
        <f t="shared" si="20"/>
        <v>6.2435380058009304E-2</v>
      </c>
      <c r="AO23" s="58">
        <f t="shared" si="20"/>
        <v>2.7568201027226236E-2</v>
      </c>
      <c r="AR23" s="2"/>
    </row>
    <row r="24" spans="2:44">
      <c r="B24" s="24" t="s">
        <v>28</v>
      </c>
      <c r="C24" s="51">
        <v>111537.5841371</v>
      </c>
      <c r="D24" s="2">
        <f t="shared" ref="D24:O24" si="29">+D25+D26</f>
        <v>153642.90434918998</v>
      </c>
      <c r="E24" s="2">
        <f t="shared" si="29"/>
        <v>164267.65349948002</v>
      </c>
      <c r="F24" s="2">
        <f t="shared" si="29"/>
        <v>117443.81827521999</v>
      </c>
      <c r="G24" s="2">
        <f t="shared" si="29"/>
        <v>146834.25383299001</v>
      </c>
      <c r="H24" s="2">
        <f t="shared" si="29"/>
        <v>174427.95126624999</v>
      </c>
      <c r="I24" s="2">
        <f t="shared" si="29"/>
        <v>187862.54932736998</v>
      </c>
      <c r="J24" s="2">
        <f t="shared" si="29"/>
        <v>176404.57767929003</v>
      </c>
      <c r="K24" s="2">
        <f t="shared" si="29"/>
        <v>195837.76081959001</v>
      </c>
      <c r="L24" s="2">
        <f t="shared" si="29"/>
        <v>224589.96751290001</v>
      </c>
      <c r="M24" s="2">
        <f t="shared" si="29"/>
        <v>255316.76159293999</v>
      </c>
      <c r="N24" s="2">
        <f t="shared" si="29"/>
        <v>243774.65371876</v>
      </c>
      <c r="O24" s="2">
        <f t="shared" si="29"/>
        <v>221200.13039741002</v>
      </c>
      <c r="P24" s="2">
        <f t="shared" ref="P24:V24" si="30">+P25+P26</f>
        <v>197451.94848926997</v>
      </c>
      <c r="Q24" s="2">
        <f t="shared" si="30"/>
        <v>142446.50037806001</v>
      </c>
      <c r="R24" s="2">
        <f t="shared" si="30"/>
        <v>214499.24350201996</v>
      </c>
      <c r="S24" s="2">
        <f t="shared" si="30"/>
        <v>217311.49208560001</v>
      </c>
      <c r="T24" s="2">
        <f t="shared" si="30"/>
        <v>274394.55605537002</v>
      </c>
      <c r="U24" s="2">
        <f t="shared" si="30"/>
        <v>321206.05002771999</v>
      </c>
      <c r="V24" s="2">
        <f t="shared" si="30"/>
        <v>294888.40620036999</v>
      </c>
      <c r="W24" s="58">
        <f t="shared" si="3"/>
        <v>0.37749894385676197</v>
      </c>
      <c r="X24" s="58">
        <f t="shared" si="4"/>
        <v>6.9152227987976378E-2</v>
      </c>
      <c r="Y24" s="58">
        <f t="shared" si="5"/>
        <v>-0.28504598578446394</v>
      </c>
      <c r="Z24" s="58">
        <f t="shared" si="6"/>
        <v>0.25025102205801875</v>
      </c>
      <c r="AA24" s="58">
        <f t="shared" si="7"/>
        <v>0.18792411656646002</v>
      </c>
      <c r="AB24" s="58">
        <f t="shared" si="8"/>
        <v>7.7020901544690989E-2</v>
      </c>
      <c r="AC24" s="58">
        <f t="shared" si="9"/>
        <v>-6.0991249661545122E-2</v>
      </c>
      <c r="AD24" s="58">
        <f t="shared" si="10"/>
        <v>0.1101625785223681</v>
      </c>
      <c r="AE24" s="58">
        <f t="shared" si="11"/>
        <v>0.14681645956827061</v>
      </c>
      <c r="AF24" s="58">
        <f t="shared" si="12"/>
        <v>0.13681285241859742</v>
      </c>
      <c r="AG24" s="58">
        <f t="shared" si="13"/>
        <v>-4.5207011878765524E-2</v>
      </c>
      <c r="AH24" s="58">
        <f t="shared" si="14"/>
        <v>-9.2604062715207269E-2</v>
      </c>
      <c r="AI24" s="58">
        <f t="shared" si="15"/>
        <v>-0.1073606144149819</v>
      </c>
      <c r="AJ24" s="58">
        <f t="shared" si="16"/>
        <v>-0.27857637532606616</v>
      </c>
      <c r="AK24" s="58">
        <f t="shared" si="17"/>
        <v>0.50582318928670378</v>
      </c>
      <c r="AL24" s="58">
        <f t="shared" si="18"/>
        <v>1.3110762246364649E-2</v>
      </c>
      <c r="AM24" s="58">
        <f t="shared" si="19"/>
        <v>0.26267853311358569</v>
      </c>
      <c r="AN24" s="58">
        <f t="shared" si="20"/>
        <v>0.17059920810857454</v>
      </c>
      <c r="AO24" s="58">
        <f t="shared" si="20"/>
        <v>-8.1933836006758853E-2</v>
      </c>
      <c r="AR24" s="2"/>
    </row>
    <row r="25" spans="2:44">
      <c r="B25" s="25" t="s">
        <v>26</v>
      </c>
      <c r="C25" s="51">
        <v>17316.565585099997</v>
      </c>
      <c r="D25" s="2">
        <v>20052.187693210002</v>
      </c>
      <c r="E25" s="2">
        <v>22822.76353253</v>
      </c>
      <c r="F25" s="2">
        <v>24694.898060209998</v>
      </c>
      <c r="G25" s="2">
        <v>24723.620547890001</v>
      </c>
      <c r="H25" s="2">
        <v>26040.187363169996</v>
      </c>
      <c r="I25" s="2">
        <v>25921.475153859999</v>
      </c>
      <c r="J25" s="2">
        <v>22190.297627690001</v>
      </c>
      <c r="K25" s="2">
        <v>21619.001416129999</v>
      </c>
      <c r="L25" s="2">
        <v>21480.696730220006</v>
      </c>
      <c r="M25" s="2">
        <v>22629.902457039996</v>
      </c>
      <c r="N25" s="2">
        <v>22140.487212849999</v>
      </c>
      <c r="O25" s="2">
        <v>19426.113489240004</v>
      </c>
      <c r="P25" s="2">
        <v>10190.937576370001</v>
      </c>
      <c r="Q25" s="2">
        <v>9281.9698079999998</v>
      </c>
      <c r="R25" s="2">
        <v>10420.760472999998</v>
      </c>
      <c r="S25" s="2">
        <v>11370.754529</v>
      </c>
      <c r="T25" s="2">
        <v>11406.569077929998</v>
      </c>
      <c r="U25" s="2">
        <v>12131.559131</v>
      </c>
      <c r="V25" s="2">
        <v>10474.334687999999</v>
      </c>
      <c r="W25" s="58">
        <f t="shared" si="3"/>
        <v>0.15797717478481221</v>
      </c>
      <c r="X25" s="58">
        <f t="shared" si="4"/>
        <v>0.13816825783344133</v>
      </c>
      <c r="Y25" s="58">
        <f t="shared" si="5"/>
        <v>8.202926543105038E-2</v>
      </c>
      <c r="Z25" s="58">
        <f t="shared" si="6"/>
        <v>1.1630939965807663E-3</v>
      </c>
      <c r="AA25" s="58">
        <f t="shared" si="7"/>
        <v>5.3251376056746569E-2</v>
      </c>
      <c r="AB25" s="58">
        <f t="shared" si="8"/>
        <v>-4.5588078017402278E-3</v>
      </c>
      <c r="AC25" s="58">
        <f t="shared" si="9"/>
        <v>-0.14394155826484223</v>
      </c>
      <c r="AD25" s="58">
        <f t="shared" si="10"/>
        <v>-2.5745315414206771E-2</v>
      </c>
      <c r="AE25" s="58">
        <f t="shared" si="11"/>
        <v>-6.3973669850820869E-3</v>
      </c>
      <c r="AF25" s="58">
        <f t="shared" si="12"/>
        <v>5.3499462389561936E-2</v>
      </c>
      <c r="AG25" s="58">
        <f t="shared" si="13"/>
        <v>-2.1626926811509239E-2</v>
      </c>
      <c r="AH25" s="58">
        <f t="shared" si="14"/>
        <v>-0.12259774130149281</v>
      </c>
      <c r="AI25" s="58">
        <f t="shared" si="15"/>
        <v>-0.47540008030866832</v>
      </c>
      <c r="AJ25" s="58">
        <f t="shared" si="16"/>
        <v>-8.9193733310431456E-2</v>
      </c>
      <c r="AK25" s="58">
        <f t="shared" si="17"/>
        <v>0.12268846899485619</v>
      </c>
      <c r="AL25" s="58">
        <f t="shared" si="18"/>
        <v>9.1163601587563425E-2</v>
      </c>
      <c r="AM25" s="58">
        <f t="shared" si="19"/>
        <v>3.14970733372677E-3</v>
      </c>
      <c r="AN25" s="58">
        <f t="shared" si="20"/>
        <v>6.3558993779535999E-2</v>
      </c>
      <c r="AO25" s="58">
        <f t="shared" si="20"/>
        <v>-0.13660440715862021</v>
      </c>
      <c r="AR25" s="2"/>
    </row>
    <row r="26" spans="2:44">
      <c r="B26" s="25" t="s">
        <v>27</v>
      </c>
      <c r="C26" s="51">
        <v>94221.018551999994</v>
      </c>
      <c r="D26" s="2">
        <v>133590.71665597998</v>
      </c>
      <c r="E26" s="2">
        <v>141444.88996695002</v>
      </c>
      <c r="F26" s="2">
        <v>92748.920215009988</v>
      </c>
      <c r="G26" s="2">
        <v>122110.6332851</v>
      </c>
      <c r="H26" s="2">
        <v>148387.76390307999</v>
      </c>
      <c r="I26" s="2">
        <v>161941.07417350999</v>
      </c>
      <c r="J26" s="2">
        <v>154214.28005160001</v>
      </c>
      <c r="K26" s="2">
        <v>174218.75940346002</v>
      </c>
      <c r="L26" s="2">
        <v>203109.27078268002</v>
      </c>
      <c r="M26" s="2">
        <v>232686.85913589998</v>
      </c>
      <c r="N26" s="2">
        <v>221634.16650591002</v>
      </c>
      <c r="O26" s="2">
        <v>201774.01690817002</v>
      </c>
      <c r="P26" s="2">
        <v>187261.01091289998</v>
      </c>
      <c r="Q26" s="2">
        <v>133164.53057006001</v>
      </c>
      <c r="R26" s="2">
        <v>204078.48302901996</v>
      </c>
      <c r="S26" s="2">
        <v>205940.73755660001</v>
      </c>
      <c r="T26" s="2">
        <v>262987.98697744001</v>
      </c>
      <c r="U26" s="2">
        <v>309074.49089671997</v>
      </c>
      <c r="V26" s="2">
        <v>284414.07151237002</v>
      </c>
      <c r="W26" s="58">
        <f t="shared" si="3"/>
        <v>0.4178441149227452</v>
      </c>
      <c r="X26" s="58">
        <f t="shared" si="4"/>
        <v>5.879280767087991E-2</v>
      </c>
      <c r="Y26" s="58">
        <f t="shared" si="5"/>
        <v>-0.34427521392478955</v>
      </c>
      <c r="Z26" s="58">
        <f t="shared" si="6"/>
        <v>0.31657202048308353</v>
      </c>
      <c r="AA26" s="58">
        <f t="shared" si="7"/>
        <v>0.21519117468360838</v>
      </c>
      <c r="AB26" s="58">
        <f t="shared" si="8"/>
        <v>9.1337115095840415E-2</v>
      </c>
      <c r="AC26" s="58">
        <f t="shared" si="9"/>
        <v>-4.7713615346475891E-2</v>
      </c>
      <c r="AD26" s="58">
        <f t="shared" si="10"/>
        <v>0.12971872219074987</v>
      </c>
      <c r="AE26" s="58">
        <f t="shared" si="11"/>
        <v>0.16582893528884934</v>
      </c>
      <c r="AF26" s="58">
        <f t="shared" si="12"/>
        <v>0.14562401922493717</v>
      </c>
      <c r="AG26" s="58">
        <f t="shared" si="13"/>
        <v>-4.7500287171501454E-2</v>
      </c>
      <c r="AH26" s="58">
        <f t="shared" si="14"/>
        <v>-8.9607797889818652E-2</v>
      </c>
      <c r="AI26" s="58">
        <f t="shared" si="15"/>
        <v>-7.1927031129459529E-2</v>
      </c>
      <c r="AJ26" s="58">
        <f t="shared" si="16"/>
        <v>-0.28888277425780673</v>
      </c>
      <c r="AK26" s="58">
        <f t="shared" si="17"/>
        <v>0.53252883598497691</v>
      </c>
      <c r="AL26" s="58">
        <f t="shared" si="18"/>
        <v>9.1251880156089094E-3</v>
      </c>
      <c r="AM26" s="58">
        <f t="shared" si="19"/>
        <v>0.27700808542147404</v>
      </c>
      <c r="AN26" s="58">
        <f t="shared" si="20"/>
        <v>0.1752418597098635</v>
      </c>
      <c r="AO26" s="58">
        <f t="shared" si="20"/>
        <v>-7.9787947924147673E-2</v>
      </c>
      <c r="AR26" s="2"/>
    </row>
    <row r="27" spans="2:44">
      <c r="B27" s="24" t="s">
        <v>31</v>
      </c>
      <c r="C27" s="51">
        <v>338366.67736454</v>
      </c>
      <c r="D27" s="2">
        <v>408888.70810737007</v>
      </c>
      <c r="E27" s="2">
        <v>456881.95308372</v>
      </c>
      <c r="F27" s="2">
        <v>504954.73629983002</v>
      </c>
      <c r="G27" s="2">
        <v>546319.22175391018</v>
      </c>
      <c r="H27" s="2">
        <v>585900.73560131993</v>
      </c>
      <c r="I27" s="2">
        <f>649315.37441959</f>
        <v>649315.37441958999</v>
      </c>
      <c r="J27" s="2">
        <v>765267.66441395995</v>
      </c>
      <c r="K27" s="2">
        <v>794363.94316756004</v>
      </c>
      <c r="L27" s="2">
        <v>874903.71755335992</v>
      </c>
      <c r="M27" s="2">
        <v>891229.93554187007</v>
      </c>
      <c r="N27" s="2">
        <v>946856.84519508015</v>
      </c>
      <c r="O27" s="2">
        <v>978217.71080922987</v>
      </c>
      <c r="P27" s="2">
        <v>1032629.6121431901</v>
      </c>
      <c r="Q27" s="2">
        <v>784734.89504987001</v>
      </c>
      <c r="R27" s="2">
        <v>1057650.1947493798</v>
      </c>
      <c r="S27" s="2">
        <v>1116744.46531549</v>
      </c>
      <c r="T27" s="2">
        <v>1199143.0894323299</v>
      </c>
      <c r="U27" s="2">
        <v>1220320.0183395403</v>
      </c>
      <c r="V27" s="2">
        <v>1267906.2354024698</v>
      </c>
      <c r="W27" s="58">
        <f t="shared" si="3"/>
        <v>0.20841895925482357</v>
      </c>
      <c r="X27" s="58">
        <f t="shared" si="4"/>
        <v>0.11737483580433672</v>
      </c>
      <c r="Y27" s="58">
        <f t="shared" si="5"/>
        <v>0.10521926482681865</v>
      </c>
      <c r="Z27" s="58">
        <f t="shared" si="6"/>
        <v>8.1917214515478731E-2</v>
      </c>
      <c r="AA27" s="58">
        <f t="shared" si="7"/>
        <v>7.2451256099568928E-2</v>
      </c>
      <c r="AB27" s="58">
        <f t="shared" si="8"/>
        <v>0.10823444137373639</v>
      </c>
      <c r="AC27" s="58">
        <f t="shared" si="9"/>
        <v>0.1785762274580629</v>
      </c>
      <c r="AD27" s="58">
        <f t="shared" si="10"/>
        <v>3.8021048198713547E-2</v>
      </c>
      <c r="AE27" s="58">
        <f t="shared" si="11"/>
        <v>0.10138901076582618</v>
      </c>
      <c r="AF27" s="58">
        <f t="shared" si="12"/>
        <v>1.866058820068317E-2</v>
      </c>
      <c r="AG27" s="58">
        <f t="shared" si="13"/>
        <v>6.2415890035593113E-2</v>
      </c>
      <c r="AH27" s="58">
        <f t="shared" si="14"/>
        <v>3.3121021169455034E-2</v>
      </c>
      <c r="AI27" s="58">
        <f t="shared" si="15"/>
        <v>5.5623508685963108E-2</v>
      </c>
      <c r="AJ27" s="58">
        <f t="shared" si="16"/>
        <v>-0.24006160018868961</v>
      </c>
      <c r="AK27" s="58">
        <f t="shared" si="17"/>
        <v>0.34778025218588748</v>
      </c>
      <c r="AL27" s="58">
        <f t="shared" si="18"/>
        <v>5.5873171356161988E-2</v>
      </c>
      <c r="AM27" s="58">
        <f t="shared" si="19"/>
        <v>7.3784672031986798E-2</v>
      </c>
      <c r="AN27" s="58">
        <f t="shared" si="20"/>
        <v>1.766005166008644E-2</v>
      </c>
      <c r="AO27" s="58">
        <f t="shared" si="20"/>
        <v>3.8994867205144113E-2</v>
      </c>
      <c r="AR27" s="2"/>
    </row>
    <row r="28" spans="2:44" ht="14.25">
      <c r="B28" s="186" t="s">
        <v>72</v>
      </c>
      <c r="C28" s="5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>
        <v>517.68713755999761</v>
      </c>
      <c r="T28" s="2">
        <v>0</v>
      </c>
      <c r="U28" s="2">
        <v>0</v>
      </c>
      <c r="V28" s="2">
        <v>0</v>
      </c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100" t="e">
        <f t="shared" ref="AL28:AO32" si="31">+S28/R28-1</f>
        <v>#DIV/0!</v>
      </c>
      <c r="AM28" s="58">
        <f t="shared" si="31"/>
        <v>-1</v>
      </c>
      <c r="AN28" s="100" t="e">
        <f t="shared" si="31"/>
        <v>#DIV/0!</v>
      </c>
      <c r="AO28" s="100" t="e">
        <f t="shared" si="31"/>
        <v>#DIV/0!</v>
      </c>
      <c r="AR28" s="2"/>
    </row>
    <row r="29" spans="2:44" ht="14.25">
      <c r="B29" s="186" t="s">
        <v>73</v>
      </c>
      <c r="C29" s="5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>
        <v>175574.23584643001</v>
      </c>
      <c r="T29" s="2">
        <v>0</v>
      </c>
      <c r="U29" s="2">
        <v>0</v>
      </c>
      <c r="V29" s="2">
        <v>0</v>
      </c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100" t="e">
        <f t="shared" si="31"/>
        <v>#DIV/0!</v>
      </c>
      <c r="AM29" s="58">
        <f t="shared" si="31"/>
        <v>-1</v>
      </c>
      <c r="AN29" s="100" t="e">
        <f t="shared" si="31"/>
        <v>#DIV/0!</v>
      </c>
      <c r="AO29" s="100" t="e">
        <f t="shared" si="31"/>
        <v>#DIV/0!</v>
      </c>
      <c r="AR29" s="2"/>
    </row>
    <row r="30" spans="2:44">
      <c r="B30" s="23" t="s">
        <v>32</v>
      </c>
      <c r="C30" s="51">
        <v>33320.637684889996</v>
      </c>
      <c r="D30" s="2">
        <v>37946.234587860003</v>
      </c>
      <c r="E30" s="2">
        <v>43731.287513449999</v>
      </c>
      <c r="F30" s="2">
        <v>54356.298406529997</v>
      </c>
      <c r="G30" s="2">
        <v>61192.724065399998</v>
      </c>
      <c r="H30" s="2">
        <v>66770.184427800006</v>
      </c>
      <c r="I30" s="2">
        <v>74083.45286764999</v>
      </c>
      <c r="J30" s="2">
        <v>56272.414422679998</v>
      </c>
      <c r="K30" s="2">
        <v>59906.791868479995</v>
      </c>
      <c r="L30" s="2">
        <v>63458.292559470006</v>
      </c>
      <c r="M30" s="2">
        <v>145909.14689758001</v>
      </c>
      <c r="N30" s="2">
        <v>71147.488061590004</v>
      </c>
      <c r="O30" s="2">
        <v>85406.510481759993</v>
      </c>
      <c r="P30" s="2">
        <v>77472.366777190007</v>
      </c>
      <c r="Q30" s="2">
        <v>79428.358024250003</v>
      </c>
      <c r="R30" s="2">
        <v>469195.33195453003</v>
      </c>
      <c r="S30" s="2">
        <v>515731.58691069996</v>
      </c>
      <c r="T30" s="2">
        <v>554243.40071308007</v>
      </c>
      <c r="U30" s="2">
        <v>588916.37456959987</v>
      </c>
      <c r="V30" s="2">
        <v>617089.48885006004</v>
      </c>
      <c r="W30" s="58">
        <f t="shared" ref="W30:AK32" si="32">+D30/C30-1</f>
        <v>0.13882077968356499</v>
      </c>
      <c r="X30" s="58">
        <f t="shared" si="32"/>
        <v>0.15245393880110547</v>
      </c>
      <c r="Y30" s="58">
        <f t="shared" si="32"/>
        <v>0.24296130979020836</v>
      </c>
      <c r="Z30" s="58">
        <f t="shared" si="32"/>
        <v>0.12577062565483166</v>
      </c>
      <c r="AA30" s="58">
        <f t="shared" si="32"/>
        <v>9.1145809368432085E-2</v>
      </c>
      <c r="AB30" s="58">
        <f t="shared" si="32"/>
        <v>0.10952895371672922</v>
      </c>
      <c r="AC30" s="58">
        <f t="shared" si="32"/>
        <v>-0.24041857871810313</v>
      </c>
      <c r="AD30" s="58">
        <f t="shared" si="32"/>
        <v>6.4585418683140716E-2</v>
      </c>
      <c r="AE30" s="58">
        <f t="shared" si="32"/>
        <v>5.9283773679402074E-2</v>
      </c>
      <c r="AF30" s="58">
        <f t="shared" si="32"/>
        <v>1.2992920391112177</v>
      </c>
      <c r="AG30" s="58">
        <f t="shared" si="32"/>
        <v>-0.51238500413184151</v>
      </c>
      <c r="AH30" s="58">
        <f t="shared" si="32"/>
        <v>0.20041498032687288</v>
      </c>
      <c r="AI30" s="58">
        <f t="shared" si="32"/>
        <v>-9.2898581850671125E-2</v>
      </c>
      <c r="AJ30" s="58">
        <f t="shared" si="32"/>
        <v>2.5247598962419904E-2</v>
      </c>
      <c r="AK30" s="58">
        <f t="shared" si="32"/>
        <v>4.9071513452573399</v>
      </c>
      <c r="AL30" s="58">
        <f t="shared" si="31"/>
        <v>9.9183115830060675E-2</v>
      </c>
      <c r="AM30" s="58">
        <f t="shared" si="31"/>
        <v>7.4674142092151063E-2</v>
      </c>
      <c r="AN30" s="58">
        <f t="shared" si="31"/>
        <v>6.2559109972099236E-2</v>
      </c>
      <c r="AO30" s="58">
        <f t="shared" si="31"/>
        <v>4.7838904634040835E-2</v>
      </c>
      <c r="AR30" s="2"/>
    </row>
    <row r="31" spans="2:44">
      <c r="B31" s="23" t="s">
        <v>11</v>
      </c>
      <c r="C31" s="51">
        <v>10453.095917289998</v>
      </c>
      <c r="D31" s="2">
        <v>19383.100288220001</v>
      </c>
      <c r="E31" s="2">
        <v>11316.001309290001</v>
      </c>
      <c r="F31" s="2">
        <v>13219.732218700001</v>
      </c>
      <c r="G31" s="2">
        <v>27427.835347389999</v>
      </c>
      <c r="H31" s="2">
        <v>22684.191252279998</v>
      </c>
      <c r="I31" s="2">
        <v>22210.130752419998</v>
      </c>
      <c r="J31" s="2">
        <v>20785.931920139999</v>
      </c>
      <c r="K31" s="2">
        <v>27148.408144959998</v>
      </c>
      <c r="L31" s="2">
        <v>51183.816604140011</v>
      </c>
      <c r="M31" s="2">
        <v>44548.068543499998</v>
      </c>
      <c r="N31" s="2">
        <v>74944.112463030004</v>
      </c>
      <c r="O31" s="2">
        <v>64904.310261549988</v>
      </c>
      <c r="P31" s="2">
        <v>80220.149068429993</v>
      </c>
      <c r="Q31" s="2">
        <v>50672.419334339997</v>
      </c>
      <c r="R31" s="2">
        <v>152940.32150906001</v>
      </c>
      <c r="S31" s="2">
        <v>274219.52060300001</v>
      </c>
      <c r="T31" s="2">
        <v>161597.31513256999</v>
      </c>
      <c r="U31" s="2">
        <v>182897.25075795999</v>
      </c>
      <c r="V31" s="2">
        <v>186008.73785473005</v>
      </c>
      <c r="W31" s="58">
        <f t="shared" si="32"/>
        <v>0.8542927800135538</v>
      </c>
      <c r="X31" s="58">
        <f t="shared" si="32"/>
        <v>-0.41619239744803604</v>
      </c>
      <c r="Y31" s="58">
        <f t="shared" si="32"/>
        <v>0.16823353562597343</v>
      </c>
      <c r="Z31" s="58">
        <f t="shared" si="32"/>
        <v>1.0747648207723826</v>
      </c>
      <c r="AA31" s="58">
        <f t="shared" si="32"/>
        <v>-0.1729499989710781</v>
      </c>
      <c r="AB31" s="58">
        <f t="shared" si="32"/>
        <v>-2.0898276451110087E-2</v>
      </c>
      <c r="AC31" s="58">
        <f t="shared" si="32"/>
        <v>-6.4123838268030919E-2</v>
      </c>
      <c r="AD31" s="58">
        <f t="shared" si="32"/>
        <v>0.30609530759865722</v>
      </c>
      <c r="AE31" s="58">
        <f t="shared" si="32"/>
        <v>0.88533398830760168</v>
      </c>
      <c r="AF31" s="58">
        <f t="shared" si="32"/>
        <v>-0.12964543289066255</v>
      </c>
      <c r="AG31" s="58">
        <f t="shared" si="32"/>
        <v>0.68232012999282077</v>
      </c>
      <c r="AH31" s="58">
        <f t="shared" si="32"/>
        <v>-0.13396385481825079</v>
      </c>
      <c r="AI31" s="58">
        <f t="shared" si="32"/>
        <v>0.23597568089331156</v>
      </c>
      <c r="AJ31" s="58">
        <f t="shared" si="32"/>
        <v>-0.3683330195370863</v>
      </c>
      <c r="AK31" s="58">
        <f t="shared" si="32"/>
        <v>2.0182162904034557</v>
      </c>
      <c r="AL31" s="58">
        <f t="shared" si="31"/>
        <v>0.79298381157617448</v>
      </c>
      <c r="AM31" s="58">
        <f t="shared" si="31"/>
        <v>-0.4107009056932831</v>
      </c>
      <c r="AN31" s="58">
        <f t="shared" si="31"/>
        <v>0.13180872224217421</v>
      </c>
      <c r="AO31" s="58">
        <f t="shared" si="31"/>
        <v>1.701221360012517E-2</v>
      </c>
      <c r="AR31" s="2"/>
    </row>
    <row r="32" spans="2:44">
      <c r="B32" s="23" t="s">
        <v>33</v>
      </c>
      <c r="C32" s="51">
        <v>16281.351952689998</v>
      </c>
      <c r="D32" s="2">
        <v>18179.892783590003</v>
      </c>
      <c r="E32" s="2">
        <v>25925.276125900004</v>
      </c>
      <c r="F32" s="2">
        <v>29272.193598469996</v>
      </c>
      <c r="G32" s="2">
        <v>161352.83755389001</v>
      </c>
      <c r="H32" s="2">
        <v>165346.60179017001</v>
      </c>
      <c r="I32" s="2">
        <v>166152.14579788997</v>
      </c>
      <c r="J32" s="2">
        <v>166835.25923299999</v>
      </c>
      <c r="K32" s="2">
        <v>188021.88733461002</v>
      </c>
      <c r="L32" s="2">
        <v>203598.08164390997</v>
      </c>
      <c r="M32" s="2">
        <v>203025.88299634002</v>
      </c>
      <c r="N32" s="2">
        <v>201783.68791919999</v>
      </c>
      <c r="O32" s="2">
        <v>207803.83215792</v>
      </c>
      <c r="P32" s="2">
        <v>215338.74676677998</v>
      </c>
      <c r="Q32" s="2">
        <v>223278.63337447</v>
      </c>
      <c r="R32" s="2">
        <v>131294.62404690997</v>
      </c>
      <c r="S32" s="2">
        <v>231689.76423407</v>
      </c>
      <c r="T32" s="2">
        <v>35848.727250750002</v>
      </c>
      <c r="U32" s="2">
        <v>53894.016197179997</v>
      </c>
      <c r="V32" s="2">
        <v>27844.509631320001</v>
      </c>
      <c r="W32" s="58">
        <f t="shared" si="32"/>
        <v>0.11660830356205953</v>
      </c>
      <c r="X32" s="58">
        <f t="shared" si="32"/>
        <v>0.42604120027051717</v>
      </c>
      <c r="Y32" s="58">
        <f t="shared" si="32"/>
        <v>0.12909862391885341</v>
      </c>
      <c r="Z32" s="58">
        <f t="shared" si="32"/>
        <v>4.512153949484798</v>
      </c>
      <c r="AA32" s="58">
        <f t="shared" si="32"/>
        <v>2.475174466607144E-2</v>
      </c>
      <c r="AB32" s="58">
        <f t="shared" si="32"/>
        <v>4.8718510026726225E-3</v>
      </c>
      <c r="AC32" s="58">
        <f t="shared" si="32"/>
        <v>4.1113729337023397E-3</v>
      </c>
      <c r="AD32" s="58">
        <f t="shared" si="32"/>
        <v>0.12699130986466756</v>
      </c>
      <c r="AE32" s="58">
        <f t="shared" si="32"/>
        <v>8.2842452706476832E-2</v>
      </c>
      <c r="AF32" s="58">
        <f t="shared" si="32"/>
        <v>-2.8104324114935908E-3</v>
      </c>
      <c r="AG32" s="58">
        <f t="shared" si="32"/>
        <v>-6.1184074602075311E-3</v>
      </c>
      <c r="AH32" s="58">
        <f t="shared" si="32"/>
        <v>2.9834642734504202E-2</v>
      </c>
      <c r="AI32" s="58">
        <f t="shared" si="32"/>
        <v>3.6259748102883016E-2</v>
      </c>
      <c r="AJ32" s="58">
        <f t="shared" si="32"/>
        <v>3.6871611481463784E-2</v>
      </c>
      <c r="AK32" s="58">
        <f t="shared" si="32"/>
        <v>-0.41196960021378204</v>
      </c>
      <c r="AL32" s="58">
        <f t="shared" si="31"/>
        <v>0.76465537653156357</v>
      </c>
      <c r="AM32" s="58">
        <f t="shared" si="31"/>
        <v>-0.84527271902036638</v>
      </c>
      <c r="AN32" s="58">
        <f t="shared" si="31"/>
        <v>0.50337321099879384</v>
      </c>
      <c r="AO32" s="58">
        <f t="shared" si="31"/>
        <v>-0.48334691685536391</v>
      </c>
      <c r="AR32" s="2"/>
    </row>
    <row r="33" spans="1:41">
      <c r="C33" s="51"/>
      <c r="D33" s="2"/>
      <c r="E33" s="2"/>
      <c r="F33" s="2"/>
      <c r="G33" s="2"/>
      <c r="H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5">
      <c r="B34" s="15" t="s">
        <v>10</v>
      </c>
      <c r="C34" s="21">
        <v>564.58199473000002</v>
      </c>
      <c r="D34" s="21">
        <v>249.9</v>
      </c>
      <c r="E34" s="21">
        <v>479.42173200000002</v>
      </c>
      <c r="F34" s="21">
        <v>4127.5349999999999</v>
      </c>
      <c r="G34" s="21">
        <v>1554.6814690900001</v>
      </c>
      <c r="H34" s="21">
        <v>295.34671997000004</v>
      </c>
      <c r="I34" s="21">
        <v>3933.2500000000005</v>
      </c>
      <c r="J34" s="21">
        <v>1113.2148966700001</v>
      </c>
      <c r="K34" s="21">
        <v>2460.04637263</v>
      </c>
      <c r="L34" s="21">
        <v>743.17457321999973</v>
      </c>
      <c r="M34" s="21">
        <v>6846.3377279900005</v>
      </c>
      <c r="N34" s="21">
        <v>7054.2691954300008</v>
      </c>
      <c r="O34" s="21">
        <v>31409.168221489999</v>
      </c>
      <c r="P34" s="21">
        <v>100375.675</v>
      </c>
      <c r="Q34" s="21">
        <v>81608.472961000007</v>
      </c>
      <c r="R34" s="21">
        <v>6534.9489450000001</v>
      </c>
      <c r="S34" s="21">
        <v>7610.1350899999998</v>
      </c>
      <c r="T34" s="21">
        <v>7350.7446680000003</v>
      </c>
      <c r="U34" s="21">
        <v>7601.7186040000006</v>
      </c>
      <c r="V34" s="21">
        <v>16428.95030774</v>
      </c>
      <c r="W34" s="62">
        <f t="shared" ref="W34:AO34" si="33">+D34/C34-1</f>
        <v>-0.55737164427372565</v>
      </c>
      <c r="X34" s="62">
        <f t="shared" si="33"/>
        <v>0.91845430972388953</v>
      </c>
      <c r="Y34" s="62">
        <f t="shared" si="33"/>
        <v>7.6094032132861251</v>
      </c>
      <c r="Z34" s="62">
        <f t="shared" si="33"/>
        <v>-0.62333899795156178</v>
      </c>
      <c r="AA34" s="62">
        <f t="shared" si="33"/>
        <v>-0.810027503484122</v>
      </c>
      <c r="AB34" s="62">
        <f t="shared" si="33"/>
        <v>12.317398616783427</v>
      </c>
      <c r="AC34" s="62">
        <f t="shared" si="33"/>
        <v>-0.71697326722939048</v>
      </c>
      <c r="AD34" s="62">
        <f t="shared" si="33"/>
        <v>1.2098575755578058</v>
      </c>
      <c r="AE34" s="62">
        <f t="shared" si="33"/>
        <v>-0.69790220969473737</v>
      </c>
      <c r="AF34" s="62">
        <f t="shared" si="33"/>
        <v>8.2122873611329812</v>
      </c>
      <c r="AG34" s="62">
        <f t="shared" si="33"/>
        <v>3.0371196353622842E-2</v>
      </c>
      <c r="AH34" s="62">
        <f t="shared" si="33"/>
        <v>3.4525049089192601</v>
      </c>
      <c r="AI34" s="62">
        <f t="shared" si="33"/>
        <v>2.1957444492695433</v>
      </c>
      <c r="AJ34" s="62">
        <f t="shared" si="33"/>
        <v>-0.18696962226156877</v>
      </c>
      <c r="AK34" s="62">
        <f t="shared" si="33"/>
        <v>-0.91992315616390719</v>
      </c>
      <c r="AL34" s="62">
        <f t="shared" si="33"/>
        <v>0.16452862203654139</v>
      </c>
      <c r="AM34" s="62">
        <f t="shared" si="33"/>
        <v>-3.4084864320062858E-2</v>
      </c>
      <c r="AN34" s="62">
        <f t="shared" si="33"/>
        <v>3.414265456567489E-2</v>
      </c>
      <c r="AO34" s="62">
        <f t="shared" si="33"/>
        <v>1.1612152677021137</v>
      </c>
    </row>
    <row r="35" spans="1:41" ht="13.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>
      <c r="A36" s="16">
        <v>2</v>
      </c>
      <c r="B36" s="64" t="s">
        <v>52</v>
      </c>
      <c r="C36" s="22">
        <f>+C40+C56</f>
        <v>1759410.3816755502</v>
      </c>
      <c r="D36" s="22">
        <f>+D40+D56</f>
        <v>2027132.6018827497</v>
      </c>
      <c r="E36" s="22">
        <f t="shared" ref="E36:O36" si="34">+E40+E56+E65</f>
        <v>2460431.8668472902</v>
      </c>
      <c r="F36" s="22">
        <f t="shared" si="34"/>
        <v>2936305.7726636901</v>
      </c>
      <c r="G36" s="22">
        <f t="shared" si="34"/>
        <v>3724577.8498064098</v>
      </c>
      <c r="H36" s="22">
        <f t="shared" si="34"/>
        <v>3869794.6329902397</v>
      </c>
      <c r="I36" s="22">
        <f t="shared" si="34"/>
        <v>4275491.9996841112</v>
      </c>
      <c r="J36" s="22">
        <f t="shared" si="34"/>
        <v>4872299.3221770003</v>
      </c>
      <c r="K36" s="22">
        <f t="shared" si="34"/>
        <v>5326977.527462624</v>
      </c>
      <c r="L36" s="22">
        <f t="shared" si="34"/>
        <v>5847059.7827990297</v>
      </c>
      <c r="M36" s="22">
        <f t="shared" si="34"/>
        <v>6201021.9396280395</v>
      </c>
      <c r="N36" s="22">
        <f t="shared" si="34"/>
        <v>6764675.7914382918</v>
      </c>
      <c r="O36" s="22">
        <f t="shared" si="34"/>
        <v>6995166.9927330203</v>
      </c>
      <c r="P36" s="22">
        <f t="shared" ref="P36:V36" si="35">+P40+P56+P65</f>
        <v>7880403.5847661709</v>
      </c>
      <c r="Q36" s="22">
        <f t="shared" si="35"/>
        <v>7682246.83633231</v>
      </c>
      <c r="R36" s="22">
        <f t="shared" si="35"/>
        <v>8339234.2854651986</v>
      </c>
      <c r="S36" s="22">
        <f t="shared" si="35"/>
        <v>8457926.2110179607</v>
      </c>
      <c r="T36" s="22">
        <f t="shared" si="35"/>
        <v>8714350.7806415595</v>
      </c>
      <c r="U36" s="22">
        <f t="shared" si="35"/>
        <v>9263765.2847008798</v>
      </c>
      <c r="V36" s="22">
        <f t="shared" si="35"/>
        <v>9237486.1435505711</v>
      </c>
      <c r="W36" s="61">
        <f t="shared" ref="W36:AO36" si="36">+D36/C36-1</f>
        <v>0.15216587499741707</v>
      </c>
      <c r="X36" s="61">
        <f t="shared" si="36"/>
        <v>0.21374983785574897</v>
      </c>
      <c r="Y36" s="61">
        <f t="shared" si="36"/>
        <v>0.19341072282004212</v>
      </c>
      <c r="Z36" s="61">
        <f t="shared" si="36"/>
        <v>0.26845708116686806</v>
      </c>
      <c r="AA36" s="61">
        <f t="shared" si="36"/>
        <v>3.8988789881617691E-2</v>
      </c>
      <c r="AB36" s="61">
        <f t="shared" si="36"/>
        <v>0.1048369242220959</v>
      </c>
      <c r="AC36" s="61">
        <f t="shared" si="36"/>
        <v>0.13958798719234733</v>
      </c>
      <c r="AD36" s="61">
        <f t="shared" si="36"/>
        <v>9.3319021517435763E-2</v>
      </c>
      <c r="AE36" s="61">
        <f t="shared" si="36"/>
        <v>9.7631771986117943E-2</v>
      </c>
      <c r="AF36" s="61">
        <f t="shared" si="36"/>
        <v>6.0536777453567447E-2</v>
      </c>
      <c r="AG36" s="61">
        <f t="shared" si="36"/>
        <v>9.0896929134887561E-2</v>
      </c>
      <c r="AH36" s="61">
        <f t="shared" si="36"/>
        <v>3.4072763928531424E-2</v>
      </c>
      <c r="AI36" s="61">
        <f t="shared" si="36"/>
        <v>0.12654974398077767</v>
      </c>
      <c r="AJ36" s="61">
        <f t="shared" si="36"/>
        <v>-2.5145507625640273E-2</v>
      </c>
      <c r="AK36" s="61">
        <f t="shared" si="36"/>
        <v>8.5520221249041573E-2</v>
      </c>
      <c r="AL36" s="61">
        <f t="shared" si="36"/>
        <v>1.4232952509756869E-2</v>
      </c>
      <c r="AM36" s="61">
        <f t="shared" si="36"/>
        <v>3.0317664546370748E-2</v>
      </c>
      <c r="AN36" s="61">
        <f t="shared" si="36"/>
        <v>6.304709529019803E-2</v>
      </c>
      <c r="AO36" s="61">
        <f t="shared" si="36"/>
        <v>-2.8367667295833288E-3</v>
      </c>
    </row>
    <row r="37" spans="1:41">
      <c r="A37" s="16"/>
      <c r="B37" s="17"/>
      <c r="C37" s="21"/>
      <c r="D37" s="21"/>
      <c r="E37" s="3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>
      <c r="A38" s="16">
        <v>3</v>
      </c>
      <c r="B38" s="4" t="s">
        <v>15</v>
      </c>
      <c r="C38" s="6">
        <f>+C36-C46</f>
        <v>1322708.2816755502</v>
      </c>
      <c r="D38" s="6">
        <f t="shared" ref="D38:O38" si="37">+D36-D46</f>
        <v>1607490.3018827497</v>
      </c>
      <c r="E38" s="39">
        <f t="shared" si="37"/>
        <v>2120346.0668472899</v>
      </c>
      <c r="F38" s="6">
        <f t="shared" si="37"/>
        <v>2576199.07266369</v>
      </c>
      <c r="G38" s="6">
        <f t="shared" si="37"/>
        <v>3323029.2306122696</v>
      </c>
      <c r="H38" s="6">
        <f t="shared" si="37"/>
        <v>3420416.6357380897</v>
      </c>
      <c r="I38" s="6">
        <f t="shared" si="37"/>
        <v>3803726.201428391</v>
      </c>
      <c r="J38" s="6">
        <f t="shared" si="37"/>
        <v>4240898.5327104507</v>
      </c>
      <c r="K38" s="6">
        <f t="shared" si="37"/>
        <v>4630897.9419114841</v>
      </c>
      <c r="L38" s="6">
        <f t="shared" si="37"/>
        <v>5047099.6172549594</v>
      </c>
      <c r="M38" s="6">
        <f t="shared" si="37"/>
        <v>5326432.9177043596</v>
      </c>
      <c r="N38" s="6">
        <f t="shared" si="37"/>
        <v>5742328.2641967619</v>
      </c>
      <c r="O38" s="6">
        <f t="shared" si="37"/>
        <v>5766456.5992373899</v>
      </c>
      <c r="P38" s="6">
        <f t="shared" ref="P38:V38" si="38">+P36-P46</f>
        <v>6363149.7247324111</v>
      </c>
      <c r="Q38" s="6">
        <f t="shared" si="38"/>
        <v>6000938.4125534995</v>
      </c>
      <c r="R38" s="6">
        <f t="shared" si="38"/>
        <v>6438014.431260718</v>
      </c>
      <c r="S38" s="6">
        <f t="shared" si="38"/>
        <v>6413782.8459682902</v>
      </c>
      <c r="T38" s="6">
        <f t="shared" si="38"/>
        <v>6452519.5618894696</v>
      </c>
      <c r="U38" s="6">
        <f t="shared" si="38"/>
        <v>6889365.6302902</v>
      </c>
      <c r="V38" s="6">
        <f t="shared" si="38"/>
        <v>6982637.7633267418</v>
      </c>
      <c r="W38" s="57">
        <f t="shared" ref="W38:AO38" si="39">+D38/C38-1</f>
        <v>0.21530221300682406</v>
      </c>
      <c r="X38" s="57">
        <f t="shared" si="39"/>
        <v>0.31904128091091155</v>
      </c>
      <c r="Y38" s="57">
        <f t="shared" si="39"/>
        <v>0.21498990798902984</v>
      </c>
      <c r="Z38" s="57">
        <f t="shared" si="39"/>
        <v>0.28989613647224322</v>
      </c>
      <c r="AA38" s="57">
        <f t="shared" si="39"/>
        <v>2.9306815669471575E-2</v>
      </c>
      <c r="AB38" s="57">
        <f t="shared" si="39"/>
        <v>0.11206516822696577</v>
      </c>
      <c r="AC38" s="57">
        <f t="shared" si="39"/>
        <v>0.11493264975746431</v>
      </c>
      <c r="AD38" s="57">
        <f t="shared" si="39"/>
        <v>9.1961504429528551E-2</v>
      </c>
      <c r="AE38" s="57">
        <f t="shared" si="39"/>
        <v>8.9874940144260895E-2</v>
      </c>
      <c r="AF38" s="57">
        <f t="shared" si="39"/>
        <v>5.5345311492251748E-2</v>
      </c>
      <c r="AG38" s="57">
        <f t="shared" si="39"/>
        <v>7.8081401365259095E-2</v>
      </c>
      <c r="AH38" s="57">
        <f t="shared" si="39"/>
        <v>4.2018383363882084E-3</v>
      </c>
      <c r="AI38" s="57">
        <f t="shared" si="39"/>
        <v>0.10347656576032049</v>
      </c>
      <c r="AJ38" s="57">
        <f t="shared" si="39"/>
        <v>-5.6923273512025307E-2</v>
      </c>
      <c r="AK38" s="57">
        <f t="shared" si="39"/>
        <v>7.2834611632222268E-2</v>
      </c>
      <c r="AL38" s="57">
        <f t="shared" si="39"/>
        <v>-3.7638289803713088E-3</v>
      </c>
      <c r="AM38" s="57">
        <f t="shared" si="39"/>
        <v>6.0396051521340866E-3</v>
      </c>
      <c r="AN38" s="57">
        <f t="shared" si="39"/>
        <v>6.7701626350871624E-2</v>
      </c>
      <c r="AO38" s="57">
        <f t="shared" si="39"/>
        <v>1.35385662544103E-2</v>
      </c>
    </row>
    <row r="39" spans="1:41" ht="13.5" customHeight="1">
      <c r="C39" s="51"/>
      <c r="D39" s="2"/>
      <c r="E39" s="38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>
      <c r="B40" s="17" t="s">
        <v>1</v>
      </c>
      <c r="C40" s="21">
        <f>+C43+C44+C45+C46+C50</f>
        <v>1652560.2816755502</v>
      </c>
      <c r="D40" s="21">
        <f t="shared" ref="D40:O40" si="40">+D43+D44+D45+D46+D50</f>
        <v>1850496.1018827497</v>
      </c>
      <c r="E40" s="40">
        <f t="shared" si="40"/>
        <v>2119803.5668472899</v>
      </c>
      <c r="F40" s="21">
        <f t="shared" si="40"/>
        <v>2634804.7000000002</v>
      </c>
      <c r="G40" s="21">
        <f t="shared" si="40"/>
        <v>3275989.6166760698</v>
      </c>
      <c r="H40" s="21">
        <f t="shared" si="40"/>
        <v>3566159.1776612098</v>
      </c>
      <c r="I40" s="21">
        <f t="shared" si="40"/>
        <v>3943824.8300714511</v>
      </c>
      <c r="J40" s="21">
        <f t="shared" si="40"/>
        <v>4471847.1458669202</v>
      </c>
      <c r="K40" s="21">
        <f t="shared" si="40"/>
        <v>4861110.0449731844</v>
      </c>
      <c r="L40" s="21">
        <f t="shared" si="40"/>
        <v>5317321.3824966196</v>
      </c>
      <c r="M40" s="21">
        <f t="shared" si="40"/>
        <v>5625718.30715256</v>
      </c>
      <c r="N40" s="21">
        <f t="shared" si="40"/>
        <v>6114730.647223711</v>
      </c>
      <c r="O40" s="21">
        <f t="shared" si="40"/>
        <v>6514974.34918488</v>
      </c>
      <c r="P40" s="21">
        <f t="shared" ref="P40:V40" si="41">+P43+P44+P45+P46+P50</f>
        <v>7129672.0126845706</v>
      </c>
      <c r="Q40" s="21">
        <f t="shared" si="41"/>
        <v>7237369.9415899199</v>
      </c>
      <c r="R40" s="21">
        <f t="shared" si="41"/>
        <v>7740719.0071777292</v>
      </c>
      <c r="S40" s="21">
        <f t="shared" si="41"/>
        <v>7846901.1956914803</v>
      </c>
      <c r="T40" s="21">
        <f t="shared" si="41"/>
        <v>8105569.55544536</v>
      </c>
      <c r="U40" s="21">
        <f t="shared" si="41"/>
        <v>8519419.7622504793</v>
      </c>
      <c r="V40" s="21">
        <f t="shared" si="41"/>
        <v>8421103.90592709</v>
      </c>
      <c r="W40" s="57">
        <f t="shared" ref="W40:AO40" si="42">+D40/C40-1</f>
        <v>0.11977524959422969</v>
      </c>
      <c r="X40" s="57">
        <f t="shared" si="42"/>
        <v>0.14553257620512627</v>
      </c>
      <c r="Y40" s="57">
        <f t="shared" si="42"/>
        <v>0.24294757363704855</v>
      </c>
      <c r="Z40" s="57">
        <f t="shared" si="42"/>
        <v>0.24335197089790728</v>
      </c>
      <c r="AA40" s="57">
        <f t="shared" si="42"/>
        <v>8.8574627803477579E-2</v>
      </c>
      <c r="AB40" s="57">
        <f t="shared" si="42"/>
        <v>0.10590263462606431</v>
      </c>
      <c r="AC40" s="57">
        <f t="shared" si="42"/>
        <v>0.13388584395770509</v>
      </c>
      <c r="AD40" s="57">
        <f t="shared" si="42"/>
        <v>8.7047451849072699E-2</v>
      </c>
      <c r="AE40" s="57">
        <f t="shared" si="42"/>
        <v>9.3849210016382578E-2</v>
      </c>
      <c r="AF40" s="57">
        <f t="shared" si="42"/>
        <v>5.7998548982032716E-2</v>
      </c>
      <c r="AG40" s="57">
        <f t="shared" si="42"/>
        <v>8.6924426957073031E-2</v>
      </c>
      <c r="AH40" s="57">
        <f t="shared" si="42"/>
        <v>6.5455655375906474E-2</v>
      </c>
      <c r="AI40" s="57">
        <f t="shared" si="42"/>
        <v>9.4351509392603949E-2</v>
      </c>
      <c r="AJ40" s="57">
        <f t="shared" si="42"/>
        <v>1.5105593737515743E-2</v>
      </c>
      <c r="AK40" s="57">
        <f t="shared" si="42"/>
        <v>6.9548616368950267E-2</v>
      </c>
      <c r="AL40" s="57">
        <f t="shared" si="42"/>
        <v>1.3717354733493226E-2</v>
      </c>
      <c r="AM40" s="57">
        <f t="shared" si="42"/>
        <v>3.2964396174111066E-2</v>
      </c>
      <c r="AN40" s="57">
        <f t="shared" si="42"/>
        <v>5.1057511008229195E-2</v>
      </c>
      <c r="AO40" s="57">
        <f t="shared" si="42"/>
        <v>-1.1540205679150373E-2</v>
      </c>
    </row>
    <row r="41" spans="1:41">
      <c r="C41" s="20"/>
      <c r="D41" s="2"/>
      <c r="E41" s="38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>
      <c r="B42" s="26" t="s">
        <v>40</v>
      </c>
      <c r="C42" s="6">
        <f>SUM(C43:C44)</f>
        <v>635163.6100000001</v>
      </c>
      <c r="D42" s="6">
        <f t="shared" ref="D42:O42" si="43">SUM(D43:D44)</f>
        <v>713476.89999999991</v>
      </c>
      <c r="E42" s="39">
        <f t="shared" si="43"/>
        <v>856512.1</v>
      </c>
      <c r="F42" s="6">
        <f t="shared" si="43"/>
        <v>1114785.6000000001</v>
      </c>
      <c r="G42" s="6">
        <f t="shared" si="43"/>
        <v>1349434.5887993101</v>
      </c>
      <c r="H42" s="6">
        <f t="shared" si="43"/>
        <v>1513597.4252949501</v>
      </c>
      <c r="I42" s="6">
        <f t="shared" si="43"/>
        <v>1647046.6485988903</v>
      </c>
      <c r="J42" s="6">
        <f t="shared" si="43"/>
        <v>1817384.20983927</v>
      </c>
      <c r="K42" s="6">
        <f t="shared" si="43"/>
        <v>1968532.6922208401</v>
      </c>
      <c r="L42" s="6">
        <f t="shared" si="43"/>
        <v>2113306.8494412806</v>
      </c>
      <c r="M42" s="6">
        <f t="shared" si="43"/>
        <v>2177506.2178466199</v>
      </c>
      <c r="N42" s="6">
        <f t="shared" si="43"/>
        <v>2290203.5405186899</v>
      </c>
      <c r="O42" s="6">
        <f t="shared" si="43"/>
        <v>2394708.47627817</v>
      </c>
      <c r="P42" s="6">
        <f t="shared" ref="P42:V42" si="44">SUM(P43:P44)</f>
        <v>2476572.69135678</v>
      </c>
      <c r="Q42" s="6">
        <f t="shared" si="44"/>
        <v>2481105.4587075301</v>
      </c>
      <c r="R42" s="6">
        <f t="shared" si="44"/>
        <v>2623920.0963273798</v>
      </c>
      <c r="S42" s="6">
        <f t="shared" si="44"/>
        <v>2626775.9156276896</v>
      </c>
      <c r="T42" s="6">
        <f t="shared" si="44"/>
        <v>2653321.6359909303</v>
      </c>
      <c r="U42" s="6">
        <f t="shared" si="44"/>
        <v>2825140.5076147094</v>
      </c>
      <c r="V42" s="6">
        <f t="shared" si="44"/>
        <v>2872032.9237304004</v>
      </c>
      <c r="W42" s="62">
        <f t="shared" ref="W42:AF48" si="45">+D42/C42-1</f>
        <v>0.123296248032849</v>
      </c>
      <c r="X42" s="62">
        <f t="shared" si="45"/>
        <v>0.20047628731918321</v>
      </c>
      <c r="Y42" s="62">
        <f t="shared" si="45"/>
        <v>0.30154098231653714</v>
      </c>
      <c r="Z42" s="62">
        <f t="shared" si="45"/>
        <v>0.21048799769149329</v>
      </c>
      <c r="AA42" s="62">
        <f t="shared" si="45"/>
        <v>0.12165305221774969</v>
      </c>
      <c r="AB42" s="62">
        <f t="shared" si="45"/>
        <v>8.8166920129330473E-2</v>
      </c>
      <c r="AC42" s="62">
        <f t="shared" si="45"/>
        <v>0.10341999808280011</v>
      </c>
      <c r="AD42" s="62">
        <f t="shared" si="45"/>
        <v>8.3168149895468613E-2</v>
      </c>
      <c r="AE42" s="62">
        <f t="shared" si="45"/>
        <v>7.3544197560219571E-2</v>
      </c>
      <c r="AF42" s="62">
        <f t="shared" si="45"/>
        <v>3.0378630733304268E-2</v>
      </c>
      <c r="AG42" s="62">
        <f t="shared" ref="AG42:AO48" si="46">+N42/M42-1</f>
        <v>5.1755224278311696E-2</v>
      </c>
      <c r="AH42" s="62">
        <f t="shared" si="46"/>
        <v>4.5631287311612256E-2</v>
      </c>
      <c r="AI42" s="62">
        <f t="shared" si="46"/>
        <v>3.418546177522308E-2</v>
      </c>
      <c r="AJ42" s="62">
        <f t="shared" si="46"/>
        <v>1.8302581493243597E-3</v>
      </c>
      <c r="AK42" s="62">
        <f t="shared" si="46"/>
        <v>5.7560889690777328E-2</v>
      </c>
      <c r="AL42" s="62">
        <f t="shared" si="46"/>
        <v>1.0883789122644316E-3</v>
      </c>
      <c r="AM42" s="62">
        <f t="shared" si="46"/>
        <v>1.0105818393304933E-2</v>
      </c>
      <c r="AN42" s="62">
        <f t="shared" si="46"/>
        <v>6.4756141620052832E-2</v>
      </c>
      <c r="AO42" s="62">
        <f t="shared" si="46"/>
        <v>1.6598259799574633E-2</v>
      </c>
    </row>
    <row r="43" spans="1:41">
      <c r="B43" s="26" t="s">
        <v>2</v>
      </c>
      <c r="C43" s="51">
        <v>534618.31000000006</v>
      </c>
      <c r="D43" s="2">
        <v>600690.19999999995</v>
      </c>
      <c r="E43" s="41">
        <v>720710</v>
      </c>
      <c r="F43" s="28">
        <v>936856.7</v>
      </c>
      <c r="G43" s="28">
        <v>1134085.4274345902</v>
      </c>
      <c r="H43" s="28">
        <v>1268194.92794928</v>
      </c>
      <c r="I43" s="28">
        <v>1380019.0229019502</v>
      </c>
      <c r="J43" s="28">
        <v>1523276.7817824101</v>
      </c>
      <c r="K43" s="28">
        <v>1649735.5051297101</v>
      </c>
      <c r="L43" s="28">
        <v>1756916.4104744704</v>
      </c>
      <c r="M43" s="28">
        <v>1816069.89857681</v>
      </c>
      <c r="N43" s="28">
        <v>1897242.22683296</v>
      </c>
      <c r="O43" s="28">
        <v>1996188.1803647599</v>
      </c>
      <c r="P43" s="28">
        <v>2057916.55444863</v>
      </c>
      <c r="Q43" s="28">
        <v>2062212.5456561903</v>
      </c>
      <c r="R43" s="28">
        <v>2164266.4206049498</v>
      </c>
      <c r="S43" s="28">
        <v>2165852.7572649294</v>
      </c>
      <c r="T43" s="28">
        <v>2183729.5681810202</v>
      </c>
      <c r="U43" s="28">
        <v>2350940.1344643096</v>
      </c>
      <c r="V43" s="28">
        <v>2392114.0350451604</v>
      </c>
      <c r="W43" s="58">
        <f t="shared" si="45"/>
        <v>0.12358703165254448</v>
      </c>
      <c r="X43" s="58">
        <f t="shared" si="45"/>
        <v>0.19980315976521679</v>
      </c>
      <c r="Y43" s="58">
        <f t="shared" si="45"/>
        <v>0.29990800738160983</v>
      </c>
      <c r="Z43" s="58">
        <f t="shared" si="45"/>
        <v>0.21052176649277343</v>
      </c>
      <c r="AA43" s="58">
        <f t="shared" si="45"/>
        <v>0.11825343776619923</v>
      </c>
      <c r="AB43" s="58">
        <f t="shared" si="45"/>
        <v>8.8175794184490286E-2</v>
      </c>
      <c r="AC43" s="58">
        <f t="shared" si="45"/>
        <v>0.10380853923246125</v>
      </c>
      <c r="AD43" s="58">
        <f t="shared" si="45"/>
        <v>8.3017561128535533E-2</v>
      </c>
      <c r="AE43" s="58">
        <f t="shared" si="45"/>
        <v>6.4968538903048767E-2</v>
      </c>
      <c r="AF43" s="58">
        <f t="shared" si="45"/>
        <v>3.3668925709655628E-2</v>
      </c>
      <c r="AG43" s="58">
        <f t="shared" si="46"/>
        <v>4.4696698249203859E-2</v>
      </c>
      <c r="AH43" s="58">
        <f t="shared" si="46"/>
        <v>5.2152514914750148E-2</v>
      </c>
      <c r="AI43" s="58">
        <f t="shared" si="46"/>
        <v>3.0923123727037982E-2</v>
      </c>
      <c r="AJ43" s="58">
        <f t="shared" si="46"/>
        <v>2.0875439279952612E-3</v>
      </c>
      <c r="AK43" s="58">
        <f t="shared" si="46"/>
        <v>4.948756381282049E-2</v>
      </c>
      <c r="AL43" s="58">
        <f t="shared" si="46"/>
        <v>7.3296736708416965E-4</v>
      </c>
      <c r="AM43" s="58">
        <f t="shared" si="46"/>
        <v>8.25393640270633E-3</v>
      </c>
      <c r="AN43" s="58">
        <f t="shared" si="46"/>
        <v>7.6571095945076495E-2</v>
      </c>
      <c r="AO43" s="58">
        <f t="shared" si="46"/>
        <v>1.7513802234795151E-2</v>
      </c>
    </row>
    <row r="44" spans="1:41" ht="14.25">
      <c r="B44" s="121" t="s">
        <v>86</v>
      </c>
      <c r="C44" s="51">
        <v>100545.3</v>
      </c>
      <c r="D44" s="2">
        <v>112786.7</v>
      </c>
      <c r="E44" s="38">
        <v>135802.1</v>
      </c>
      <c r="F44" s="2">
        <v>177928.90000000002</v>
      </c>
      <c r="G44" s="28">
        <v>215349.16136472003</v>
      </c>
      <c r="H44" s="28">
        <v>245402.49734567001</v>
      </c>
      <c r="I44" s="28">
        <v>267027.62569694</v>
      </c>
      <c r="J44" s="28">
        <v>294107.42805685999</v>
      </c>
      <c r="K44" s="28">
        <v>318797.18709113001</v>
      </c>
      <c r="L44" s="28">
        <v>356390.43896681</v>
      </c>
      <c r="M44" s="28">
        <v>361436.3192698101</v>
      </c>
      <c r="N44" s="28">
        <v>392961.31368572998</v>
      </c>
      <c r="O44" s="28">
        <v>398520.29591341002</v>
      </c>
      <c r="P44" s="28">
        <v>418656.13690815005</v>
      </c>
      <c r="Q44" s="28">
        <v>418892.91305133997</v>
      </c>
      <c r="R44" s="28">
        <v>459653.67572242999</v>
      </c>
      <c r="S44" s="28">
        <v>460923.15836276009</v>
      </c>
      <c r="T44" s="28">
        <v>469592.06780991011</v>
      </c>
      <c r="U44" s="28">
        <v>474200.37315039994</v>
      </c>
      <c r="V44" s="28">
        <v>479918.88868523994</v>
      </c>
      <c r="W44" s="58">
        <f t="shared" si="45"/>
        <v>0.12175009672257175</v>
      </c>
      <c r="X44" s="58">
        <f t="shared" si="45"/>
        <v>0.20406129446113774</v>
      </c>
      <c r="Y44" s="58">
        <f t="shared" si="45"/>
        <v>0.31020727956342364</v>
      </c>
      <c r="Z44" s="58">
        <f t="shared" si="45"/>
        <v>0.21031019336780021</v>
      </c>
      <c r="AA44" s="58">
        <f t="shared" si="45"/>
        <v>0.13955631770513843</v>
      </c>
      <c r="AB44" s="58">
        <f t="shared" si="45"/>
        <v>8.8121060645968807E-2</v>
      </c>
      <c r="AC44" s="58">
        <f t="shared" si="45"/>
        <v>0.1014119879515909</v>
      </c>
      <c r="AD44" s="58">
        <f t="shared" si="45"/>
        <v>8.3948097460145421E-2</v>
      </c>
      <c r="AE44" s="58">
        <f t="shared" si="45"/>
        <v>0.11792215677528461</v>
      </c>
      <c r="AF44" s="58">
        <f t="shared" si="45"/>
        <v>1.4158293128256449E-2</v>
      </c>
      <c r="AG44" s="58">
        <f t="shared" si="46"/>
        <v>8.7221434967045042E-2</v>
      </c>
      <c r="AH44" s="58">
        <f t="shared" si="46"/>
        <v>1.414638549413505E-2</v>
      </c>
      <c r="AI44" s="58">
        <f t="shared" si="46"/>
        <v>5.0526513207034052E-2</v>
      </c>
      <c r="AJ44" s="58">
        <f t="shared" si="46"/>
        <v>5.6556233700177927E-4</v>
      </c>
      <c r="AK44" s="58">
        <f t="shared" si="46"/>
        <v>9.7305925693935924E-2</v>
      </c>
      <c r="AL44" s="58">
        <f t="shared" si="46"/>
        <v>2.7618241893418993E-3</v>
      </c>
      <c r="AM44" s="58">
        <f t="shared" si="46"/>
        <v>1.8807710764507268E-2</v>
      </c>
      <c r="AN44" s="58">
        <f t="shared" si="46"/>
        <v>9.8134224497916644E-3</v>
      </c>
      <c r="AO44" s="58">
        <f t="shared" si="46"/>
        <v>1.2059280967765762E-2</v>
      </c>
    </row>
    <row r="45" spans="1:41" ht="14.25">
      <c r="B45" s="47" t="s">
        <v>87</v>
      </c>
      <c r="C45" s="51">
        <v>56310.1</v>
      </c>
      <c r="D45" s="2">
        <v>72614.899999999994</v>
      </c>
      <c r="E45" s="38">
        <v>87627.7</v>
      </c>
      <c r="F45" s="2">
        <v>106359.2</v>
      </c>
      <c r="G45" s="28">
        <v>120680.83022841001</v>
      </c>
      <c r="H45" s="28">
        <v>135631.58669587001</v>
      </c>
      <c r="I45" s="28">
        <v>142944.51600178002</v>
      </c>
      <c r="J45" s="28">
        <v>158364.76321589001</v>
      </c>
      <c r="K45" s="28">
        <v>179745.75943738001</v>
      </c>
      <c r="L45" s="28">
        <v>193529.60649919999</v>
      </c>
      <c r="M45" s="28">
        <v>197623.68718608003</v>
      </c>
      <c r="N45" s="28">
        <v>217640.84282464004</v>
      </c>
      <c r="O45" s="28">
        <v>224112.19797795001</v>
      </c>
      <c r="P45" s="28">
        <v>232410.85556863999</v>
      </c>
      <c r="Q45" s="28">
        <v>241731.15404712997</v>
      </c>
      <c r="R45" s="28">
        <v>341810.72399451002</v>
      </c>
      <c r="S45" s="28">
        <v>356198.72754660004</v>
      </c>
      <c r="T45" s="28">
        <v>335317.48026430997</v>
      </c>
      <c r="U45" s="28">
        <v>347687.49898132985</v>
      </c>
      <c r="V45" s="28">
        <v>371490.61049801996</v>
      </c>
      <c r="W45" s="58">
        <f t="shared" si="45"/>
        <v>0.28955373902727932</v>
      </c>
      <c r="X45" s="58">
        <f t="shared" si="45"/>
        <v>0.20674544755966062</v>
      </c>
      <c r="Y45" s="58">
        <f t="shared" si="45"/>
        <v>0.21376231488444875</v>
      </c>
      <c r="Z45" s="58">
        <f t="shared" si="45"/>
        <v>0.13465342187991269</v>
      </c>
      <c r="AA45" s="58">
        <f t="shared" si="45"/>
        <v>0.12388675516370773</v>
      </c>
      <c r="AB45" s="58">
        <f t="shared" si="45"/>
        <v>5.3917597545385831E-2</v>
      </c>
      <c r="AC45" s="58">
        <f t="shared" si="45"/>
        <v>0.10787575239275338</v>
      </c>
      <c r="AD45" s="58">
        <f t="shared" si="45"/>
        <v>0.13501107056462081</v>
      </c>
      <c r="AE45" s="58">
        <f t="shared" si="45"/>
        <v>7.6685242004955301E-2</v>
      </c>
      <c r="AF45" s="58">
        <f t="shared" si="45"/>
        <v>2.115480293139016E-2</v>
      </c>
      <c r="AG45" s="58">
        <f t="shared" si="46"/>
        <v>0.10128925294118263</v>
      </c>
      <c r="AH45" s="58">
        <f t="shared" si="46"/>
        <v>2.9734102612918756E-2</v>
      </c>
      <c r="AI45" s="58">
        <f t="shared" si="46"/>
        <v>3.7029031286848868E-2</v>
      </c>
      <c r="AJ45" s="58">
        <f t="shared" si="46"/>
        <v>4.0102681329948986E-2</v>
      </c>
      <c r="AK45" s="58">
        <f t="shared" si="46"/>
        <v>0.41401188167855141</v>
      </c>
      <c r="AL45" s="58">
        <f t="shared" si="46"/>
        <v>4.2093481983090486E-2</v>
      </c>
      <c r="AM45" s="58">
        <f t="shared" si="46"/>
        <v>-5.8622464561045584E-2</v>
      </c>
      <c r="AN45" s="58">
        <f t="shared" si="46"/>
        <v>3.6890467825504869E-2</v>
      </c>
      <c r="AO45" s="58">
        <f t="shared" si="46"/>
        <v>6.8461223329655319E-2</v>
      </c>
    </row>
    <row r="46" spans="1:41">
      <c r="B46" s="1" t="s">
        <v>16</v>
      </c>
      <c r="C46" s="6">
        <f>+C47+C48</f>
        <v>436702.1</v>
      </c>
      <c r="D46" s="6">
        <f t="shared" ref="D46:O46" si="47">+D47+D48</f>
        <v>419642.3</v>
      </c>
      <c r="E46" s="39">
        <f t="shared" si="47"/>
        <v>340085.80000000005</v>
      </c>
      <c r="F46" s="6">
        <f t="shared" si="47"/>
        <v>360106.7</v>
      </c>
      <c r="G46" s="6">
        <f t="shared" si="47"/>
        <v>401548.61919414002</v>
      </c>
      <c r="H46" s="6">
        <f t="shared" si="47"/>
        <v>449377.99725214997</v>
      </c>
      <c r="I46" s="6">
        <f t="shared" si="47"/>
        <v>471765.79825571994</v>
      </c>
      <c r="J46" s="6">
        <f t="shared" si="47"/>
        <v>631400.78946654988</v>
      </c>
      <c r="K46" s="6">
        <f t="shared" si="47"/>
        <v>696079.58555114002</v>
      </c>
      <c r="L46" s="6">
        <f t="shared" si="47"/>
        <v>799960.16554406995</v>
      </c>
      <c r="M46" s="6">
        <f t="shared" si="47"/>
        <v>874589.02192367997</v>
      </c>
      <c r="N46" s="6">
        <f t="shared" si="47"/>
        <v>1022347.5272415301</v>
      </c>
      <c r="O46" s="6">
        <f t="shared" si="47"/>
        <v>1228710.39349563</v>
      </c>
      <c r="P46" s="6">
        <f t="shared" ref="P46:V46" si="48">+P47+P48</f>
        <v>1517253.8600337598</v>
      </c>
      <c r="Q46" s="6">
        <f t="shared" si="48"/>
        <v>1681308.4237788103</v>
      </c>
      <c r="R46" s="6">
        <f t="shared" si="48"/>
        <v>1901219.8542044801</v>
      </c>
      <c r="S46" s="6">
        <f t="shared" si="48"/>
        <v>2044143.3650496702</v>
      </c>
      <c r="T46" s="6">
        <f t="shared" si="48"/>
        <v>2261831.2187520899</v>
      </c>
      <c r="U46" s="6">
        <f t="shared" si="48"/>
        <v>2374399.6544106798</v>
      </c>
      <c r="V46" s="6">
        <f t="shared" si="48"/>
        <v>2254848.3802238298</v>
      </c>
      <c r="W46" s="62">
        <f t="shared" si="45"/>
        <v>-3.9065074337860994E-2</v>
      </c>
      <c r="X46" s="62">
        <f t="shared" si="45"/>
        <v>-0.18958169850846762</v>
      </c>
      <c r="Y46" s="62">
        <f t="shared" si="45"/>
        <v>5.887014394602752E-2</v>
      </c>
      <c r="Z46" s="62">
        <f t="shared" si="45"/>
        <v>0.11508233308111171</v>
      </c>
      <c r="AA46" s="62">
        <f t="shared" si="45"/>
        <v>0.11911229617473906</v>
      </c>
      <c r="AB46" s="62">
        <f t="shared" si="45"/>
        <v>4.9819530863697281E-2</v>
      </c>
      <c r="AC46" s="62">
        <f t="shared" si="45"/>
        <v>0.33837762678230443</v>
      </c>
      <c r="AD46" s="62">
        <f t="shared" si="45"/>
        <v>0.10243698956923253</v>
      </c>
      <c r="AE46" s="62">
        <f t="shared" si="45"/>
        <v>0.14923664211568521</v>
      </c>
      <c r="AF46" s="62">
        <f t="shared" si="45"/>
        <v>9.3290715705641958E-2</v>
      </c>
      <c r="AG46" s="62">
        <f t="shared" si="46"/>
        <v>0.16894621543825439</v>
      </c>
      <c r="AH46" s="62">
        <f t="shared" si="46"/>
        <v>0.201851973771485</v>
      </c>
      <c r="AI46" s="62">
        <f t="shared" si="46"/>
        <v>0.23483439878557189</v>
      </c>
      <c r="AJ46" s="62">
        <f t="shared" si="46"/>
        <v>0.1081259821223326</v>
      </c>
      <c r="AK46" s="62">
        <f t="shared" si="46"/>
        <v>0.1307977925498105</v>
      </c>
      <c r="AL46" s="62">
        <f t="shared" si="46"/>
        <v>7.5174636183774179E-2</v>
      </c>
      <c r="AM46" s="62">
        <f t="shared" si="46"/>
        <v>0.10649343750756457</v>
      </c>
      <c r="AN46" s="62">
        <f t="shared" si="46"/>
        <v>4.9768716040932803E-2</v>
      </c>
      <c r="AO46" s="62">
        <f t="shared" si="46"/>
        <v>-5.0350105958266944E-2</v>
      </c>
    </row>
    <row r="47" spans="1:41">
      <c r="B47" s="1" t="s">
        <v>3</v>
      </c>
      <c r="C47" s="51">
        <v>349454.3</v>
      </c>
      <c r="D47" s="2">
        <v>331663.8</v>
      </c>
      <c r="E47" s="38">
        <v>255328.7</v>
      </c>
      <c r="F47" s="2">
        <v>280639</v>
      </c>
      <c r="G47" s="2">
        <v>336646.25961148</v>
      </c>
      <c r="H47" s="2">
        <v>390876.4895037</v>
      </c>
      <c r="I47" s="2">
        <v>424770.39638429997</v>
      </c>
      <c r="J47" s="2">
        <v>568909.56437962991</v>
      </c>
      <c r="K47" s="2">
        <v>600095.87801327999</v>
      </c>
      <c r="L47" s="2">
        <v>657218.47768551996</v>
      </c>
      <c r="M47" s="2">
        <v>693689.58436102001</v>
      </c>
      <c r="N47" s="2">
        <v>828127.14892498008</v>
      </c>
      <c r="O47" s="2">
        <v>1023837.97962648</v>
      </c>
      <c r="P47" s="2">
        <v>1310014.3845654</v>
      </c>
      <c r="Q47" s="2">
        <v>1441804.6332063403</v>
      </c>
      <c r="R47" s="2">
        <v>1649623.27713554</v>
      </c>
      <c r="S47" s="2">
        <v>1735788.4315923802</v>
      </c>
      <c r="T47" s="2">
        <v>1851621.5917446201</v>
      </c>
      <c r="U47" s="2">
        <v>1862403.7842287598</v>
      </c>
      <c r="V47" s="2">
        <v>1801824.8709075199</v>
      </c>
      <c r="W47" s="58">
        <f t="shared" si="45"/>
        <v>-5.0909374988374778E-2</v>
      </c>
      <c r="X47" s="58">
        <f t="shared" si="45"/>
        <v>-0.23015806970793917</v>
      </c>
      <c r="Y47" s="58">
        <f t="shared" si="45"/>
        <v>9.9128300108840106E-2</v>
      </c>
      <c r="Z47" s="58">
        <f t="shared" si="45"/>
        <v>0.19957047884107348</v>
      </c>
      <c r="AA47" s="58">
        <f t="shared" si="45"/>
        <v>0.16108965522090335</v>
      </c>
      <c r="AB47" s="58">
        <f t="shared" si="45"/>
        <v>8.6712574920112084E-2</v>
      </c>
      <c r="AC47" s="58">
        <f t="shared" si="45"/>
        <v>0.3393343067743444</v>
      </c>
      <c r="AD47" s="58">
        <f t="shared" si="45"/>
        <v>5.4817699659623909E-2</v>
      </c>
      <c r="AE47" s="58">
        <f t="shared" si="45"/>
        <v>9.5189121880580263E-2</v>
      </c>
      <c r="AF47" s="58">
        <f t="shared" si="45"/>
        <v>5.5493124301583485E-2</v>
      </c>
      <c r="AG47" s="58">
        <f t="shared" si="46"/>
        <v>0.19380075410501485</v>
      </c>
      <c r="AH47" s="58">
        <f t="shared" si="46"/>
        <v>0.23632944645705534</v>
      </c>
      <c r="AI47" s="58">
        <f t="shared" si="46"/>
        <v>0.27951337089812167</v>
      </c>
      <c r="AJ47" s="58">
        <f t="shared" si="46"/>
        <v>0.10060213856709832</v>
      </c>
      <c r="AK47" s="58">
        <f t="shared" si="46"/>
        <v>0.14413786663110151</v>
      </c>
      <c r="AL47" s="58">
        <f t="shared" si="46"/>
        <v>5.223323146025205E-2</v>
      </c>
      <c r="AM47" s="58">
        <f t="shared" si="46"/>
        <v>6.6732303340665045E-2</v>
      </c>
      <c r="AN47" s="58">
        <f t="shared" si="46"/>
        <v>5.8231079893493742E-3</v>
      </c>
      <c r="AO47" s="58">
        <f t="shared" si="46"/>
        <v>-3.2527271386707524E-2</v>
      </c>
    </row>
    <row r="48" spans="1:41">
      <c r="B48" s="1" t="s">
        <v>4</v>
      </c>
      <c r="C48" s="51">
        <v>87247.8</v>
      </c>
      <c r="D48" s="2">
        <v>87978.5</v>
      </c>
      <c r="E48" s="38">
        <v>84757.1</v>
      </c>
      <c r="F48" s="2">
        <v>79467.7</v>
      </c>
      <c r="G48" s="2">
        <v>64902.359582659999</v>
      </c>
      <c r="H48" s="2">
        <v>58501.50774845</v>
      </c>
      <c r="I48" s="2">
        <v>46995.401871420007</v>
      </c>
      <c r="J48" s="2">
        <v>62491.225086919992</v>
      </c>
      <c r="K48" s="2">
        <v>95983.707537859998</v>
      </c>
      <c r="L48" s="2">
        <v>142741.68785855002</v>
      </c>
      <c r="M48" s="2">
        <v>180899.43756265999</v>
      </c>
      <c r="N48" s="2">
        <v>194220.37831654999</v>
      </c>
      <c r="O48" s="2">
        <v>204872.41386914998</v>
      </c>
      <c r="P48" s="2">
        <v>207239.47546836</v>
      </c>
      <c r="Q48" s="2">
        <v>239503.79057247</v>
      </c>
      <c r="R48" s="2">
        <v>251596.57706893998</v>
      </c>
      <c r="S48" s="2">
        <v>308354.93345729</v>
      </c>
      <c r="T48" s="2">
        <v>410209.62700747</v>
      </c>
      <c r="U48" s="2">
        <v>511995.87018192001</v>
      </c>
      <c r="V48" s="2">
        <v>453023.50931631</v>
      </c>
      <c r="W48" s="58">
        <f t="shared" si="45"/>
        <v>8.3749962749777307E-3</v>
      </c>
      <c r="X48" s="58">
        <f t="shared" si="45"/>
        <v>-3.6615764078723689E-2</v>
      </c>
      <c r="Y48" s="58">
        <f t="shared" si="45"/>
        <v>-6.2406571248898368E-2</v>
      </c>
      <c r="Z48" s="58">
        <f t="shared" si="45"/>
        <v>-0.18328629641149796</v>
      </c>
      <c r="AA48" s="58">
        <f t="shared" si="45"/>
        <v>-9.8622790841030095E-2</v>
      </c>
      <c r="AB48" s="58">
        <f t="shared" si="45"/>
        <v>-0.19668050140698889</v>
      </c>
      <c r="AC48" s="58">
        <f t="shared" si="45"/>
        <v>0.32973062466614822</v>
      </c>
      <c r="AD48" s="58">
        <f t="shared" si="45"/>
        <v>0.53595496654698005</v>
      </c>
      <c r="AE48" s="58">
        <f t="shared" si="45"/>
        <v>0.48714496991321909</v>
      </c>
      <c r="AF48" s="58">
        <f t="shared" si="45"/>
        <v>0.26732029217646924</v>
      </c>
      <c r="AG48" s="58">
        <f t="shared" si="46"/>
        <v>7.3637270150582301E-2</v>
      </c>
      <c r="AH48" s="58">
        <f t="shared" si="46"/>
        <v>5.484509733185039E-2</v>
      </c>
      <c r="AI48" s="58">
        <f t="shared" si="46"/>
        <v>1.1553832722065893E-2</v>
      </c>
      <c r="AJ48" s="58">
        <f t="shared" si="46"/>
        <v>0.15568614536971226</v>
      </c>
      <c r="AK48" s="58">
        <f t="shared" si="46"/>
        <v>5.0491002533051388E-2</v>
      </c>
      <c r="AL48" s="58">
        <f t="shared" si="46"/>
        <v>0.22559272089300975</v>
      </c>
      <c r="AM48" s="58">
        <f t="shared" si="46"/>
        <v>0.33031640651304128</v>
      </c>
      <c r="AN48" s="58">
        <f t="shared" si="46"/>
        <v>0.2481322632942411</v>
      </c>
      <c r="AO48" s="58">
        <f t="shared" si="46"/>
        <v>-0.11518132137404979</v>
      </c>
    </row>
    <row r="49" spans="1:41">
      <c r="C49" s="51"/>
      <c r="D49" s="2"/>
      <c r="E49" s="38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4.25">
      <c r="B50" s="47" t="s">
        <v>90</v>
      </c>
      <c r="C50" s="6">
        <f>+C51+C52+C53+C54</f>
        <v>524384.47167554998</v>
      </c>
      <c r="D50" s="6">
        <f t="shared" ref="D50:O50" si="49">+D51+D52+D53+D54</f>
        <v>644762.00188274984</v>
      </c>
      <c r="E50" s="39">
        <f t="shared" si="49"/>
        <v>835577.96684728994</v>
      </c>
      <c r="F50" s="6">
        <f t="shared" si="49"/>
        <v>1053553.2000000002</v>
      </c>
      <c r="G50" s="6">
        <f t="shared" si="49"/>
        <v>1404325.57845421</v>
      </c>
      <c r="H50" s="6">
        <f t="shared" si="49"/>
        <v>1467552.1684182398</v>
      </c>
      <c r="I50" s="6">
        <f t="shared" si="49"/>
        <v>1682067.8672150609</v>
      </c>
      <c r="J50" s="6">
        <f t="shared" si="49"/>
        <v>1864697.3833452102</v>
      </c>
      <c r="K50" s="6">
        <f t="shared" si="49"/>
        <v>2016752.0077638247</v>
      </c>
      <c r="L50" s="6">
        <f t="shared" si="49"/>
        <v>2210524.7610120699</v>
      </c>
      <c r="M50" s="6">
        <f t="shared" si="49"/>
        <v>2375999.3801961797</v>
      </c>
      <c r="N50" s="6">
        <f t="shared" si="49"/>
        <v>2584538.7366388501</v>
      </c>
      <c r="O50" s="6">
        <f t="shared" si="49"/>
        <v>2667443.2814331297</v>
      </c>
      <c r="P50" s="6">
        <f t="shared" ref="P50:V50" si="50">+P51+P52+P53+P54</f>
        <v>2903434.6057253904</v>
      </c>
      <c r="Q50" s="6">
        <f t="shared" si="50"/>
        <v>2833224.9050564491</v>
      </c>
      <c r="R50" s="6">
        <f t="shared" si="50"/>
        <v>2873768.3326513595</v>
      </c>
      <c r="S50" s="6">
        <f t="shared" si="50"/>
        <v>2819783.1874675201</v>
      </c>
      <c r="T50" s="6">
        <f t="shared" si="50"/>
        <v>2855099.2204380301</v>
      </c>
      <c r="U50" s="6">
        <f t="shared" si="50"/>
        <v>2972192.1012437595</v>
      </c>
      <c r="V50" s="6">
        <f t="shared" si="50"/>
        <v>2922731.9914748399</v>
      </c>
      <c r="W50" s="62">
        <f t="shared" ref="W50:AF54" si="51">+D50/C50-1</f>
        <v>0.22955967750639372</v>
      </c>
      <c r="X50" s="62">
        <f t="shared" si="51"/>
        <v>0.29594790699102025</v>
      </c>
      <c r="Y50" s="62">
        <f t="shared" si="51"/>
        <v>0.26086761714786499</v>
      </c>
      <c r="Z50" s="62">
        <f t="shared" si="51"/>
        <v>0.33294225526932064</v>
      </c>
      <c r="AA50" s="62">
        <f t="shared" si="51"/>
        <v>4.5022743254185871E-2</v>
      </c>
      <c r="AB50" s="62">
        <f t="shared" si="51"/>
        <v>0.14617245193268391</v>
      </c>
      <c r="AC50" s="62">
        <f t="shared" si="51"/>
        <v>0.108574403976055</v>
      </c>
      <c r="AD50" s="62">
        <f t="shared" si="51"/>
        <v>8.154386109870182E-2</v>
      </c>
      <c r="AE50" s="62">
        <f t="shared" si="51"/>
        <v>9.6081596796375734E-2</v>
      </c>
      <c r="AF50" s="62">
        <f t="shared" si="51"/>
        <v>7.4857618472614851E-2</v>
      </c>
      <c r="AG50" s="62">
        <f t="shared" ref="AG50:AO54" si="52">+N50/M50-1</f>
        <v>8.7769112307365837E-2</v>
      </c>
      <c r="AH50" s="62">
        <f t="shared" si="52"/>
        <v>3.2077114426265263E-2</v>
      </c>
      <c r="AI50" s="62">
        <f t="shared" si="52"/>
        <v>8.8470981158208728E-2</v>
      </c>
      <c r="AJ50" s="62">
        <f t="shared" si="52"/>
        <v>-2.418160220674237E-2</v>
      </c>
      <c r="AK50" s="62">
        <f t="shared" si="52"/>
        <v>1.4309992659796489E-2</v>
      </c>
      <c r="AL50" s="62">
        <f t="shared" si="52"/>
        <v>-1.8785489620185336E-2</v>
      </c>
      <c r="AM50" s="62">
        <f t="shared" si="52"/>
        <v>1.2524378869790853E-2</v>
      </c>
      <c r="AN50" s="62">
        <f t="shared" si="52"/>
        <v>4.1011842939652654E-2</v>
      </c>
      <c r="AO50" s="62">
        <f t="shared" si="52"/>
        <v>-1.6640953237249456E-2</v>
      </c>
    </row>
    <row r="51" spans="1:41">
      <c r="B51" s="1" t="s">
        <v>6</v>
      </c>
      <c r="C51" s="51">
        <v>283654.37167555001</v>
      </c>
      <c r="D51" s="2">
        <v>324337.65720666986</v>
      </c>
      <c r="E51" s="38">
        <v>374510.3</v>
      </c>
      <c r="F51" s="2">
        <v>448883.7</v>
      </c>
      <c r="G51" s="2">
        <v>490465.63345878996</v>
      </c>
      <c r="H51" s="2">
        <v>529496.04893650999</v>
      </c>
      <c r="I51" s="2">
        <v>570532.09499857028</v>
      </c>
      <c r="J51" s="2">
        <v>640019.10718160006</v>
      </c>
      <c r="K51" s="2">
        <v>679065.69149420003</v>
      </c>
      <c r="L51" s="2">
        <v>743704.53358018026</v>
      </c>
      <c r="M51" s="2">
        <v>769905.92001157999</v>
      </c>
      <c r="N51" s="2">
        <v>801193.03395747987</v>
      </c>
      <c r="O51" s="2">
        <v>851049.36697429989</v>
      </c>
      <c r="P51" s="2">
        <v>872220.8607158201</v>
      </c>
      <c r="Q51" s="2">
        <v>1025499.3107226</v>
      </c>
      <c r="R51" s="2">
        <v>979532.82006422</v>
      </c>
      <c r="S51" s="2">
        <v>1011200.77613545</v>
      </c>
      <c r="T51" s="2">
        <v>1028307.8771450398</v>
      </c>
      <c r="U51" s="2">
        <v>1023423.8103496998</v>
      </c>
      <c r="V51" s="2">
        <v>1022251.8102640698</v>
      </c>
      <c r="W51" s="58">
        <f t="shared" si="51"/>
        <v>0.14342555445489236</v>
      </c>
      <c r="X51" s="58">
        <f t="shared" si="51"/>
        <v>0.15469262257561356</v>
      </c>
      <c r="Y51" s="58">
        <f t="shared" si="51"/>
        <v>0.19858839663421812</v>
      </c>
      <c r="Z51" s="58">
        <f t="shared" si="51"/>
        <v>9.2634090876523079E-2</v>
      </c>
      <c r="AA51" s="58">
        <f t="shared" si="51"/>
        <v>7.9578288090187854E-2</v>
      </c>
      <c r="AB51" s="58">
        <f t="shared" si="51"/>
        <v>7.7500193144936613E-2</v>
      </c>
      <c r="AC51" s="58">
        <f t="shared" si="51"/>
        <v>0.12179334483050241</v>
      </c>
      <c r="AD51" s="58">
        <f t="shared" si="51"/>
        <v>6.1008466582421539E-2</v>
      </c>
      <c r="AE51" s="58">
        <f t="shared" si="51"/>
        <v>9.5187907290310125E-2</v>
      </c>
      <c r="AF51" s="58">
        <f t="shared" si="51"/>
        <v>3.523090857772071E-2</v>
      </c>
      <c r="AG51" s="58">
        <f t="shared" si="52"/>
        <v>4.0637580687039376E-2</v>
      </c>
      <c r="AH51" s="58">
        <f t="shared" si="52"/>
        <v>6.2227616696260313E-2</v>
      </c>
      <c r="AI51" s="58">
        <f t="shared" si="52"/>
        <v>2.4876927899952994E-2</v>
      </c>
      <c r="AJ51" s="58">
        <f t="shared" si="52"/>
        <v>0.17573352909833662</v>
      </c>
      <c r="AK51" s="58">
        <f t="shared" si="52"/>
        <v>-4.4823521749605577E-2</v>
      </c>
      <c r="AL51" s="58">
        <f t="shared" si="52"/>
        <v>3.2329652894278471E-2</v>
      </c>
      <c r="AM51" s="58">
        <f t="shared" si="52"/>
        <v>1.6917610640063696E-2</v>
      </c>
      <c r="AN51" s="58">
        <f t="shared" si="52"/>
        <v>-4.7496152697964478E-3</v>
      </c>
      <c r="AO51" s="58">
        <f t="shared" si="52"/>
        <v>-1.1451757070509716E-3</v>
      </c>
    </row>
    <row r="52" spans="1:41" ht="14.25">
      <c r="B52" s="47" t="s">
        <v>76</v>
      </c>
      <c r="C52" s="51">
        <v>237128.09999999998</v>
      </c>
      <c r="D52" s="2">
        <v>314448.04467607994</v>
      </c>
      <c r="E52" s="38">
        <v>454514.46684728994</v>
      </c>
      <c r="F52" s="2">
        <v>593519.9</v>
      </c>
      <c r="G52" s="2">
        <v>888205.12267514004</v>
      </c>
      <c r="H52" s="2">
        <v>929181.43142054963</v>
      </c>
      <c r="I52" s="2">
        <v>1104433.9743464906</v>
      </c>
      <c r="J52" s="2">
        <v>1215410.6612270102</v>
      </c>
      <c r="K52" s="2">
        <v>1320652.6436918944</v>
      </c>
      <c r="L52" s="2">
        <v>1450049.0035381995</v>
      </c>
      <c r="M52" s="2">
        <v>1581290.56530526</v>
      </c>
      <c r="N52" s="2">
        <v>1731163.1392413299</v>
      </c>
      <c r="O52" s="2">
        <v>1793384.8573098397</v>
      </c>
      <c r="P52" s="2">
        <v>1986950.3536098003</v>
      </c>
      <c r="Q52" s="2">
        <v>1698595.2434500996</v>
      </c>
      <c r="R52" s="2">
        <v>1823396.7360928794</v>
      </c>
      <c r="S52" s="2">
        <v>1792449.2312301002</v>
      </c>
      <c r="T52" s="2">
        <v>1774374.6147117901</v>
      </c>
      <c r="U52" s="2">
        <v>1911117.0470740197</v>
      </c>
      <c r="V52" s="2">
        <v>1891211.9603972202</v>
      </c>
      <c r="W52" s="58">
        <f t="shared" si="51"/>
        <v>0.32606825035109699</v>
      </c>
      <c r="X52" s="58">
        <f t="shared" si="51"/>
        <v>0.44543581854832515</v>
      </c>
      <c r="Y52" s="58">
        <f t="shared" si="51"/>
        <v>0.30583280245601907</v>
      </c>
      <c r="Z52" s="58">
        <f t="shared" si="51"/>
        <v>0.49650436771393847</v>
      </c>
      <c r="AA52" s="58">
        <f t="shared" si="51"/>
        <v>4.6133835191126904E-2</v>
      </c>
      <c r="AB52" s="58">
        <f t="shared" si="51"/>
        <v>0.1886096051855144</v>
      </c>
      <c r="AC52" s="58">
        <f t="shared" si="51"/>
        <v>0.10048286222468494</v>
      </c>
      <c r="AD52" s="58">
        <f t="shared" si="51"/>
        <v>8.6589648932845265E-2</v>
      </c>
      <c r="AE52" s="58">
        <f t="shared" si="51"/>
        <v>9.7979101820881986E-2</v>
      </c>
      <c r="AF52" s="58">
        <f t="shared" si="51"/>
        <v>9.0508363128986691E-2</v>
      </c>
      <c r="AG52" s="58">
        <f t="shared" si="52"/>
        <v>9.4778642979595373E-2</v>
      </c>
      <c r="AH52" s="58">
        <f t="shared" si="52"/>
        <v>3.594214586603206E-2</v>
      </c>
      <c r="AI52" s="58">
        <f t="shared" si="52"/>
        <v>0.10793304934575931</v>
      </c>
      <c r="AJ52" s="58">
        <f t="shared" si="52"/>
        <v>-0.14512446656547329</v>
      </c>
      <c r="AK52" s="58">
        <f t="shared" si="52"/>
        <v>7.3473355776794369E-2</v>
      </c>
      <c r="AL52" s="58">
        <f t="shared" si="52"/>
        <v>-1.6972447219080089E-2</v>
      </c>
      <c r="AM52" s="58">
        <f t="shared" si="52"/>
        <v>-1.0083753672568974E-2</v>
      </c>
      <c r="AN52" s="58">
        <f t="shared" si="52"/>
        <v>7.706514240480189E-2</v>
      </c>
      <c r="AO52" s="58">
        <f t="shared" si="52"/>
        <v>-1.0415419980306706E-2</v>
      </c>
    </row>
    <row r="53" spans="1:41">
      <c r="B53" s="1" t="s">
        <v>8</v>
      </c>
      <c r="C53" s="51">
        <v>2096.8000000000002</v>
      </c>
      <c r="D53" s="2">
        <v>2497.9</v>
      </c>
      <c r="E53" s="38">
        <v>3088.3</v>
      </c>
      <c r="F53" s="2">
        <v>3106</v>
      </c>
      <c r="G53" s="2">
        <v>3902.67753434</v>
      </c>
      <c r="H53" s="2">
        <v>4203.11315715</v>
      </c>
      <c r="I53" s="2">
        <v>3616.9857104900002</v>
      </c>
      <c r="J53" s="2">
        <v>6037.7689097499997</v>
      </c>
      <c r="K53" s="2">
        <v>5946.1293229800003</v>
      </c>
      <c r="L53" s="2">
        <v>5740.0226235499995</v>
      </c>
      <c r="M53" s="2">
        <v>5173.7526078899991</v>
      </c>
      <c r="N53" s="2">
        <v>5819.7733043300004</v>
      </c>
      <c r="O53" s="2">
        <v>5403.619508990002</v>
      </c>
      <c r="P53" s="2">
        <v>5747.998892880004</v>
      </c>
      <c r="Q53" s="2">
        <v>6566.5187763599979</v>
      </c>
      <c r="R53" s="2">
        <v>8225.1679728200052</v>
      </c>
      <c r="S53" s="2">
        <v>9072.551884550001</v>
      </c>
      <c r="T53" s="2">
        <v>8795.3683246500004</v>
      </c>
      <c r="U53" s="2">
        <v>9438.885675870004</v>
      </c>
      <c r="V53" s="2">
        <v>9121.2766689200034</v>
      </c>
      <c r="W53" s="58">
        <f t="shared" si="51"/>
        <v>0.19129149179702387</v>
      </c>
      <c r="X53" s="58">
        <f t="shared" si="51"/>
        <v>0.23635854117458677</v>
      </c>
      <c r="Y53" s="58">
        <f t="shared" si="51"/>
        <v>5.7313084868697572E-3</v>
      </c>
      <c r="Z53" s="58">
        <f t="shared" si="51"/>
        <v>0.25649630854475203</v>
      </c>
      <c r="AA53" s="58">
        <f t="shared" si="51"/>
        <v>7.6981923350428305E-2</v>
      </c>
      <c r="AB53" s="58">
        <f t="shared" si="51"/>
        <v>-0.13945078915206621</v>
      </c>
      <c r="AC53" s="58">
        <f t="shared" si="51"/>
        <v>0.66928193612687825</v>
      </c>
      <c r="AD53" s="58">
        <f t="shared" si="51"/>
        <v>-1.5177723450464753E-2</v>
      </c>
      <c r="AE53" s="58">
        <f t="shared" si="51"/>
        <v>-3.466233043964595E-2</v>
      </c>
      <c r="AF53" s="58">
        <f t="shared" si="51"/>
        <v>-9.8652924003596043E-2</v>
      </c>
      <c r="AG53" s="58">
        <f t="shared" si="52"/>
        <v>0.1248650148936028</v>
      </c>
      <c r="AH53" s="58">
        <f t="shared" si="52"/>
        <v>-7.1506873821077122E-2</v>
      </c>
      <c r="AI53" s="58">
        <f t="shared" si="52"/>
        <v>6.3731242238106889E-2</v>
      </c>
      <c r="AJ53" s="58">
        <f t="shared" si="52"/>
        <v>0.14240084222943872</v>
      </c>
      <c r="AK53" s="58">
        <f t="shared" si="52"/>
        <v>0.25259186076361795</v>
      </c>
      <c r="AL53" s="58">
        <f t="shared" si="52"/>
        <v>0.10302329563726453</v>
      </c>
      <c r="AM53" s="58">
        <f t="shared" si="52"/>
        <v>-3.055188478690618E-2</v>
      </c>
      <c r="AN53" s="58">
        <f t="shared" si="52"/>
        <v>7.3165480678788031E-2</v>
      </c>
      <c r="AO53" s="58">
        <f t="shared" si="52"/>
        <v>-3.3648993944481287E-2</v>
      </c>
    </row>
    <row r="54" spans="1:41">
      <c r="B54" s="18" t="s">
        <v>38</v>
      </c>
      <c r="C54" s="51">
        <v>1505.2</v>
      </c>
      <c r="D54" s="2">
        <v>3478.4</v>
      </c>
      <c r="E54" s="38">
        <v>3464.9</v>
      </c>
      <c r="F54" s="2">
        <v>8043.6</v>
      </c>
      <c r="G54" s="2">
        <v>21752.14478594</v>
      </c>
      <c r="H54" s="2">
        <v>4671.5749040299997</v>
      </c>
      <c r="I54" s="2">
        <v>3484.8121595100001</v>
      </c>
      <c r="J54" s="2">
        <v>3229.8460268499998</v>
      </c>
      <c r="K54" s="2">
        <v>11087.543254749999</v>
      </c>
      <c r="L54" s="2">
        <v>11031.20127014</v>
      </c>
      <c r="M54" s="2">
        <v>19629.14227145</v>
      </c>
      <c r="N54" s="2">
        <v>46362.790135709998</v>
      </c>
      <c r="O54" s="2">
        <v>17605.43764</v>
      </c>
      <c r="P54" s="2">
        <v>38515.392506889999</v>
      </c>
      <c r="Q54" s="2">
        <v>102563.83210739</v>
      </c>
      <c r="R54" s="2">
        <v>62613.608521439994</v>
      </c>
      <c r="S54" s="2">
        <v>7060.6282174199996</v>
      </c>
      <c r="T54" s="2">
        <v>43621.360256550004</v>
      </c>
      <c r="U54" s="2">
        <v>28212.358144170001</v>
      </c>
      <c r="V54" s="2">
        <v>146.94414462999998</v>
      </c>
      <c r="W54" s="58">
        <f t="shared" si="51"/>
        <v>1.3109221365931436</v>
      </c>
      <c r="X54" s="58">
        <f t="shared" si="51"/>
        <v>-3.8810947562097908E-3</v>
      </c>
      <c r="Y54" s="58">
        <f t="shared" si="51"/>
        <v>1.321452278565038</v>
      </c>
      <c r="Z54" s="58">
        <f t="shared" si="51"/>
        <v>1.7042797734770501</v>
      </c>
      <c r="AA54" s="58">
        <f t="shared" si="51"/>
        <v>-0.78523612498894457</v>
      </c>
      <c r="AB54" s="58">
        <f t="shared" si="51"/>
        <v>-0.25403911291162684</v>
      </c>
      <c r="AC54" s="58">
        <f t="shared" si="51"/>
        <v>-7.3164957245744677E-2</v>
      </c>
      <c r="AD54" s="58">
        <f t="shared" si="51"/>
        <v>2.4328395727159302</v>
      </c>
      <c r="AE54" s="58">
        <f t="shared" si="51"/>
        <v>-5.0815571416924499E-3</v>
      </c>
      <c r="AF54" s="58">
        <f t="shared" si="51"/>
        <v>0.77942019103426996</v>
      </c>
      <c r="AG54" s="58">
        <f t="shared" si="52"/>
        <v>1.3619366294544255</v>
      </c>
      <c r="AH54" s="58">
        <f t="shared" si="52"/>
        <v>-0.62026794357141657</v>
      </c>
      <c r="AI54" s="58">
        <f t="shared" si="52"/>
        <v>1.1876986698349405</v>
      </c>
      <c r="AJ54" s="58">
        <f t="shared" si="52"/>
        <v>1.6629309850352012</v>
      </c>
      <c r="AK54" s="58">
        <f t="shared" si="52"/>
        <v>-0.38951570709760452</v>
      </c>
      <c r="AL54" s="58">
        <f t="shared" si="52"/>
        <v>-0.88723492569506968</v>
      </c>
      <c r="AM54" s="58">
        <f t="shared" si="52"/>
        <v>5.178113181051974</v>
      </c>
      <c r="AN54" s="58">
        <f t="shared" si="52"/>
        <v>-0.35324442020503588</v>
      </c>
      <c r="AO54" s="58">
        <f t="shared" si="52"/>
        <v>-0.99479149726233129</v>
      </c>
    </row>
    <row r="55" spans="1:41">
      <c r="C55" s="51"/>
      <c r="D55" s="2"/>
      <c r="E55" s="38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>
      <c r="A56" s="16"/>
      <c r="B56" s="17" t="s">
        <v>9</v>
      </c>
      <c r="C56" s="21">
        <f>+C58+C59</f>
        <v>106850.1</v>
      </c>
      <c r="D56" s="21">
        <f t="shared" ref="D56:O56" si="53">+D58+D59</f>
        <v>176636.5</v>
      </c>
      <c r="E56" s="21">
        <f t="shared" si="53"/>
        <v>275723.60000000003</v>
      </c>
      <c r="F56" s="21">
        <f t="shared" si="53"/>
        <v>301501.07266368996</v>
      </c>
      <c r="G56" s="21">
        <f t="shared" si="53"/>
        <v>448588.23313033994</v>
      </c>
      <c r="H56" s="21">
        <f t="shared" si="53"/>
        <v>303635.45532902994</v>
      </c>
      <c r="I56" s="21">
        <f t="shared" si="53"/>
        <v>331667.16961266001</v>
      </c>
      <c r="J56" s="21">
        <f t="shared" si="53"/>
        <v>400452.17631008005</v>
      </c>
      <c r="K56" s="21">
        <f t="shared" si="53"/>
        <v>464667.98248943995</v>
      </c>
      <c r="L56" s="21">
        <f t="shared" si="53"/>
        <v>525861.2831939999</v>
      </c>
      <c r="M56" s="21">
        <f t="shared" si="53"/>
        <v>571341.39845248987</v>
      </c>
      <c r="N56" s="21">
        <f t="shared" si="53"/>
        <v>649282.20180158003</v>
      </c>
      <c r="O56" s="21">
        <f t="shared" si="53"/>
        <v>479519.50349764997</v>
      </c>
      <c r="P56" s="21">
        <f t="shared" ref="P56:V56" si="54">+P58+P59</f>
        <v>718825.01136907004</v>
      </c>
      <c r="Q56" s="21">
        <f t="shared" si="54"/>
        <v>444014.72348663001</v>
      </c>
      <c r="R56" s="21">
        <f t="shared" si="54"/>
        <v>594010.09609549993</v>
      </c>
      <c r="S56" s="21">
        <f t="shared" si="54"/>
        <v>605647.72644441994</v>
      </c>
      <c r="T56" s="21">
        <f t="shared" si="54"/>
        <v>604131.62770978012</v>
      </c>
      <c r="U56" s="21">
        <f t="shared" si="54"/>
        <v>707406.74515039986</v>
      </c>
      <c r="V56" s="21">
        <f t="shared" si="54"/>
        <v>779143.93450348009</v>
      </c>
      <c r="W56" s="57">
        <f t="shared" ref="W56:AO56" si="55">+D56/C56-1</f>
        <v>0.6531243302533174</v>
      </c>
      <c r="X56" s="57">
        <f t="shared" si="55"/>
        <v>0.56096616497722751</v>
      </c>
      <c r="Y56" s="57">
        <f t="shared" si="55"/>
        <v>9.3490265844816678E-2</v>
      </c>
      <c r="Z56" s="57">
        <f t="shared" si="55"/>
        <v>0.48784954284629922</v>
      </c>
      <c r="AA56" s="57">
        <f t="shared" si="55"/>
        <v>-0.32313102996438414</v>
      </c>
      <c r="AB56" s="57">
        <f t="shared" si="55"/>
        <v>9.2320293271594078E-2</v>
      </c>
      <c r="AC56" s="57">
        <f t="shared" si="55"/>
        <v>0.20739166549933508</v>
      </c>
      <c r="AD56" s="57">
        <f t="shared" si="55"/>
        <v>0.16035823995531495</v>
      </c>
      <c r="AE56" s="57">
        <f t="shared" si="55"/>
        <v>0.13169252672998755</v>
      </c>
      <c r="AF56" s="57">
        <f t="shared" si="55"/>
        <v>8.6486905790536195E-2</v>
      </c>
      <c r="AG56" s="57">
        <f t="shared" si="55"/>
        <v>0.136417216676749</v>
      </c>
      <c r="AH56" s="57">
        <f t="shared" si="55"/>
        <v>-0.26146211590720514</v>
      </c>
      <c r="AI56" s="57">
        <f t="shared" si="55"/>
        <v>0.49905271031920151</v>
      </c>
      <c r="AJ56" s="57">
        <f t="shared" si="55"/>
        <v>-0.38230484963098033</v>
      </c>
      <c r="AK56" s="57">
        <f t="shared" si="55"/>
        <v>0.33781621346028756</v>
      </c>
      <c r="AL56" s="57">
        <f t="shared" si="55"/>
        <v>1.9591637289358532E-2</v>
      </c>
      <c r="AM56" s="57">
        <f t="shared" si="55"/>
        <v>-2.5032682670839135E-3</v>
      </c>
      <c r="AN56" s="57">
        <f t="shared" si="55"/>
        <v>0.17094803963852767</v>
      </c>
      <c r="AO56" s="57">
        <f t="shared" si="55"/>
        <v>0.10140868721548357</v>
      </c>
    </row>
    <row r="57" spans="1:41">
      <c r="C57" s="51"/>
      <c r="D57" s="2"/>
      <c r="E57" s="38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1">
      <c r="B58" s="1" t="s">
        <v>12</v>
      </c>
      <c r="C58" s="51">
        <v>25297.9</v>
      </c>
      <c r="D58" s="2">
        <v>40174.199999999997</v>
      </c>
      <c r="E58" s="38">
        <v>61451.4</v>
      </c>
      <c r="F58" s="38">
        <v>82119.599999999991</v>
      </c>
      <c r="G58" s="38">
        <v>64385.589132710003</v>
      </c>
      <c r="H58" s="38">
        <v>72055.851775849995</v>
      </c>
      <c r="I58" s="38">
        <v>51500.784160880008</v>
      </c>
      <c r="J58" s="38">
        <v>81389.077594930015</v>
      </c>
      <c r="K58" s="38">
        <v>86790.960234379992</v>
      </c>
      <c r="L58" s="38">
        <v>97573.381225000005</v>
      </c>
      <c r="M58" s="38">
        <v>95054.270156720013</v>
      </c>
      <c r="N58" s="38">
        <v>98445.710975390015</v>
      </c>
      <c r="O58" s="38">
        <v>67401.916435830004</v>
      </c>
      <c r="P58" s="38">
        <v>60860.505657310001</v>
      </c>
      <c r="Q58" s="38">
        <v>73814.171882980008</v>
      </c>
      <c r="R58" s="38">
        <v>249866.63002611001</v>
      </c>
      <c r="S58" s="38">
        <v>220616.04776568001</v>
      </c>
      <c r="T58" s="38">
        <v>269420.01353295997</v>
      </c>
      <c r="U58" s="38">
        <v>268528.21541731001</v>
      </c>
      <c r="V58" s="38">
        <v>282074.77418496006</v>
      </c>
      <c r="W58" s="58">
        <f t="shared" ref="W58:AF63" si="56">+D58/C58-1</f>
        <v>0.58804485747828861</v>
      </c>
      <c r="X58" s="58">
        <f t="shared" si="56"/>
        <v>0.52962348970234641</v>
      </c>
      <c r="Y58" s="58">
        <f t="shared" si="56"/>
        <v>0.33633407863775266</v>
      </c>
      <c r="Z58" s="58">
        <f t="shared" si="56"/>
        <v>-0.21595344920445292</v>
      </c>
      <c r="AA58" s="58">
        <f t="shared" si="56"/>
        <v>0.11913011508414151</v>
      </c>
      <c r="AB58" s="58">
        <f t="shared" si="56"/>
        <v>-0.28526576410354998</v>
      </c>
      <c r="AC58" s="58">
        <f t="shared" si="56"/>
        <v>0.58034637571117131</v>
      </c>
      <c r="AD58" s="58">
        <f t="shared" si="56"/>
        <v>6.6371100386896087E-2</v>
      </c>
      <c r="AE58" s="58">
        <f t="shared" si="56"/>
        <v>0.12423437834426498</v>
      </c>
      <c r="AF58" s="58">
        <f t="shared" si="56"/>
        <v>-2.5817605546240463E-2</v>
      </c>
      <c r="AG58" s="58">
        <f t="shared" ref="AG58:AO63" si="57">+N58/M58-1</f>
        <v>3.5678994884484228E-2</v>
      </c>
      <c r="AH58" s="58">
        <f t="shared" si="57"/>
        <v>-0.31533922841311501</v>
      </c>
      <c r="AI58" s="58">
        <f t="shared" si="57"/>
        <v>-9.7050812861497082E-2</v>
      </c>
      <c r="AJ58" s="58">
        <f t="shared" si="57"/>
        <v>0.21284190930993585</v>
      </c>
      <c r="AK58" s="58">
        <f t="shared" si="57"/>
        <v>2.3850766546867401</v>
      </c>
      <c r="AL58" s="58">
        <f t="shared" si="57"/>
        <v>-0.11706478074872761</v>
      </c>
      <c r="AM58" s="58">
        <f t="shared" si="57"/>
        <v>0.22121675309456856</v>
      </c>
      <c r="AN58" s="58">
        <f t="shared" si="57"/>
        <v>-3.310066330840189E-3</v>
      </c>
      <c r="AO58" s="58">
        <f t="shared" si="57"/>
        <v>5.0447431554251576E-2</v>
      </c>
    </row>
    <row r="59" spans="1:41">
      <c r="B59" s="1" t="s">
        <v>5</v>
      </c>
      <c r="C59" s="6">
        <f>+C60+C61+C62+C63</f>
        <v>81552.200000000012</v>
      </c>
      <c r="D59" s="6">
        <f t="shared" ref="D59:O59" si="58">+D60+D61+D62+D63</f>
        <v>136462.29999999999</v>
      </c>
      <c r="E59" s="39">
        <f t="shared" si="58"/>
        <v>214272.2</v>
      </c>
      <c r="F59" s="6">
        <f t="shared" si="58"/>
        <v>219381.47266368999</v>
      </c>
      <c r="G59" s="6">
        <f t="shared" si="58"/>
        <v>384202.64399762993</v>
      </c>
      <c r="H59" s="6">
        <f t="shared" si="58"/>
        <v>231579.60355317997</v>
      </c>
      <c r="I59" s="6">
        <f t="shared" si="58"/>
        <v>280166.38545177999</v>
      </c>
      <c r="J59" s="6">
        <f t="shared" si="58"/>
        <v>319063.09871515003</v>
      </c>
      <c r="K59" s="6">
        <f t="shared" si="58"/>
        <v>377877.02225505997</v>
      </c>
      <c r="L59" s="6">
        <f t="shared" si="58"/>
        <v>428287.90196899994</v>
      </c>
      <c r="M59" s="6">
        <f t="shared" si="58"/>
        <v>476287.12829576991</v>
      </c>
      <c r="N59" s="6">
        <f t="shared" si="58"/>
        <v>550836.49082618998</v>
      </c>
      <c r="O59" s="6">
        <f t="shared" si="58"/>
        <v>412117.58706181997</v>
      </c>
      <c r="P59" s="6">
        <f t="shared" ref="P59:V59" si="59">+P60+P61+P62+P63</f>
        <v>657964.50571176002</v>
      </c>
      <c r="Q59" s="6">
        <f t="shared" si="59"/>
        <v>370200.55160364998</v>
      </c>
      <c r="R59" s="6">
        <f t="shared" si="59"/>
        <v>344143.46606938995</v>
      </c>
      <c r="S59" s="6">
        <f t="shared" si="59"/>
        <v>385031.67867873993</v>
      </c>
      <c r="T59" s="6">
        <f t="shared" si="59"/>
        <v>334711.61417682015</v>
      </c>
      <c r="U59" s="6">
        <f t="shared" si="59"/>
        <v>438878.52973308985</v>
      </c>
      <c r="V59" s="6">
        <f t="shared" si="59"/>
        <v>497069.16031852004</v>
      </c>
      <c r="W59" s="62">
        <f t="shared" si="56"/>
        <v>0.67331230794509489</v>
      </c>
      <c r="X59" s="62">
        <f t="shared" si="56"/>
        <v>0.57019337941687942</v>
      </c>
      <c r="Y59" s="62">
        <f t="shared" si="56"/>
        <v>2.3844776241108256E-2</v>
      </c>
      <c r="Z59" s="62">
        <f t="shared" si="56"/>
        <v>0.75129941162629299</v>
      </c>
      <c r="AA59" s="62">
        <f t="shared" si="56"/>
        <v>-0.39724620022498192</v>
      </c>
      <c r="AB59" s="62">
        <f t="shared" si="56"/>
        <v>0.20980596370803672</v>
      </c>
      <c r="AC59" s="62">
        <f t="shared" si="56"/>
        <v>0.13883433303623294</v>
      </c>
      <c r="AD59" s="62">
        <f t="shared" si="56"/>
        <v>0.1843332048637103</v>
      </c>
      <c r="AE59" s="62">
        <f t="shared" si="56"/>
        <v>0.13340551752287699</v>
      </c>
      <c r="AF59" s="62">
        <f t="shared" si="56"/>
        <v>0.11207233757035762</v>
      </c>
      <c r="AG59" s="62">
        <f t="shared" si="57"/>
        <v>0.15652189215603918</v>
      </c>
      <c r="AH59" s="62">
        <f t="shared" si="57"/>
        <v>-0.2518331774939383</v>
      </c>
      <c r="AI59" s="62">
        <f t="shared" si="57"/>
        <v>0.59654556458679253</v>
      </c>
      <c r="AJ59" s="62">
        <f t="shared" si="57"/>
        <v>-0.43735482934116388</v>
      </c>
      <c r="AK59" s="62">
        <f t="shared" si="57"/>
        <v>-7.0386403859704849E-2</v>
      </c>
      <c r="AL59" s="62">
        <f t="shared" si="57"/>
        <v>0.11881153251680687</v>
      </c>
      <c r="AM59" s="62">
        <f t="shared" si="57"/>
        <v>-0.1306907127086171</v>
      </c>
      <c r="AN59" s="62">
        <f t="shared" si="57"/>
        <v>0.31121392609113596</v>
      </c>
      <c r="AO59" s="62">
        <f t="shared" si="57"/>
        <v>0.13258937642909907</v>
      </c>
    </row>
    <row r="60" spans="1:41">
      <c r="B60" s="1" t="s">
        <v>6</v>
      </c>
      <c r="C60" s="51">
        <v>658.1</v>
      </c>
      <c r="D60" s="2">
        <v>667.9</v>
      </c>
      <c r="E60" s="38">
        <v>771.7</v>
      </c>
      <c r="F60" s="2">
        <v>19787.577948279999</v>
      </c>
      <c r="G60" s="2">
        <v>18399.997250910001</v>
      </c>
      <c r="H60" s="2">
        <v>11941.214984220001</v>
      </c>
      <c r="I60" s="2">
        <v>12585.66174492</v>
      </c>
      <c r="J60" s="2">
        <v>14532.33951661</v>
      </c>
      <c r="K60" s="2">
        <v>16202.459345110001</v>
      </c>
      <c r="L60" s="2">
        <v>17506.870102140001</v>
      </c>
      <c r="M60" s="2">
        <v>18035.795729950001</v>
      </c>
      <c r="N60" s="2">
        <v>18580.314984969998</v>
      </c>
      <c r="O60" s="2">
        <v>18112.78092841</v>
      </c>
      <c r="P60" s="2">
        <v>20150.978144669996</v>
      </c>
      <c r="Q60" s="2">
        <v>14079.847212459999</v>
      </c>
      <c r="R60" s="2">
        <v>20884.455959490002</v>
      </c>
      <c r="S60" s="2">
        <v>17730.511185690004</v>
      </c>
      <c r="T60" s="2">
        <v>5518.6542175300001</v>
      </c>
      <c r="U60" s="2">
        <v>8845.7925401999983</v>
      </c>
      <c r="V60" s="2">
        <v>5811.5412966599997</v>
      </c>
      <c r="W60" s="58">
        <f t="shared" si="56"/>
        <v>1.4891353897583892E-2</v>
      </c>
      <c r="X60" s="58">
        <f t="shared" si="56"/>
        <v>0.15541248689923659</v>
      </c>
      <c r="Y60" s="58">
        <f t="shared" si="56"/>
        <v>24.641541982998572</v>
      </c>
      <c r="Z60" s="58">
        <f t="shared" si="56"/>
        <v>-7.0123827231245883E-2</v>
      </c>
      <c r="AA60" s="58">
        <f t="shared" si="56"/>
        <v>-0.35102082780857857</v>
      </c>
      <c r="AB60" s="58">
        <f t="shared" si="56"/>
        <v>5.3968273877626149E-2</v>
      </c>
      <c r="AC60" s="58">
        <f t="shared" si="56"/>
        <v>0.15467424845386013</v>
      </c>
      <c r="AD60" s="58">
        <f t="shared" si="56"/>
        <v>0.11492436070538448</v>
      </c>
      <c r="AE60" s="58">
        <f t="shared" si="56"/>
        <v>8.0506960656172133E-2</v>
      </c>
      <c r="AF60" s="58">
        <f t="shared" si="56"/>
        <v>3.0212460863883628E-2</v>
      </c>
      <c r="AG60" s="58">
        <f t="shared" si="57"/>
        <v>3.0191030280730891E-2</v>
      </c>
      <c r="AH60" s="58">
        <f t="shared" si="57"/>
        <v>-2.5162870324760167E-2</v>
      </c>
      <c r="AI60" s="58">
        <f t="shared" si="57"/>
        <v>0.11252812167915494</v>
      </c>
      <c r="AJ60" s="58">
        <f t="shared" si="57"/>
        <v>-0.3012821952673217</v>
      </c>
      <c r="AK60" s="58">
        <f t="shared" si="57"/>
        <v>0.48328711557382853</v>
      </c>
      <c r="AL60" s="58">
        <f t="shared" si="57"/>
        <v>-0.1510187662976602</v>
      </c>
      <c r="AM60" s="58">
        <f t="shared" si="57"/>
        <v>-0.68874816074203138</v>
      </c>
      <c r="AN60" s="58">
        <f t="shared" si="57"/>
        <v>0.60288943490993629</v>
      </c>
      <c r="AO60" s="58">
        <f t="shared" si="57"/>
        <v>-0.34301632439950891</v>
      </c>
    </row>
    <row r="61" spans="1:41">
      <c r="B61" s="1" t="s">
        <v>7</v>
      </c>
      <c r="C61" s="51">
        <f>70631-3500</f>
        <v>67131</v>
      </c>
      <c r="D61" s="2">
        <f>138015.1-3500</f>
        <v>134515.1</v>
      </c>
      <c r="E61" s="38">
        <f>212507.5-3500</f>
        <v>209007.5</v>
      </c>
      <c r="F61" s="2">
        <f>180111.40305339-3500</f>
        <v>176611.40305339001</v>
      </c>
      <c r="G61" s="2">
        <f>344141.67196802-4500</f>
        <v>339641.67196801997</v>
      </c>
      <c r="H61" s="2">
        <f>198752.67122191-4500</f>
        <v>194252.67122190999</v>
      </c>
      <c r="I61" s="2">
        <v>255890.29412897999</v>
      </c>
      <c r="J61" s="2">
        <v>263848.87009791</v>
      </c>
      <c r="K61" s="2">
        <v>288854.17975233996</v>
      </c>
      <c r="L61" s="2">
        <v>315576.89125821996</v>
      </c>
      <c r="M61" s="2">
        <v>333722.49486090994</v>
      </c>
      <c r="N61" s="2">
        <v>470275.79631274001</v>
      </c>
      <c r="O61" s="2">
        <v>360447.73696030001</v>
      </c>
      <c r="P61" s="2">
        <v>501374.68620270002</v>
      </c>
      <c r="Q61" s="2">
        <v>329542.68146005995</v>
      </c>
      <c r="R61" s="2">
        <v>287646.53760976996</v>
      </c>
      <c r="S61" s="2">
        <v>307290.98837108992</v>
      </c>
      <c r="T61" s="2">
        <v>307156.43609357014</v>
      </c>
      <c r="U61" s="2">
        <v>366652.02476926986</v>
      </c>
      <c r="V61" s="2">
        <v>379424.48016164999</v>
      </c>
      <c r="W61" s="58">
        <f t="shared" si="56"/>
        <v>1.0037702402764745</v>
      </c>
      <c r="X61" s="58">
        <f t="shared" si="56"/>
        <v>0.55378466804098569</v>
      </c>
      <c r="Y61" s="58">
        <f t="shared" si="56"/>
        <v>-0.15499968635867134</v>
      </c>
      <c r="Z61" s="58">
        <f t="shared" si="56"/>
        <v>0.92310160100673433</v>
      </c>
      <c r="AA61" s="58">
        <f t="shared" si="56"/>
        <v>-0.42806584923359914</v>
      </c>
      <c r="AB61" s="58">
        <f t="shared" si="56"/>
        <v>0.3173064366083107</v>
      </c>
      <c r="AC61" s="58">
        <f t="shared" si="56"/>
        <v>3.1101515577290906E-2</v>
      </c>
      <c r="AD61" s="58">
        <f t="shared" si="56"/>
        <v>9.4771334988665634E-2</v>
      </c>
      <c r="AE61" s="58">
        <f t="shared" si="56"/>
        <v>9.2512808811670011E-2</v>
      </c>
      <c r="AF61" s="58">
        <f t="shared" si="56"/>
        <v>5.7499785647620261E-2</v>
      </c>
      <c r="AG61" s="58">
        <f t="shared" si="57"/>
        <v>0.40918219045660442</v>
      </c>
      <c r="AH61" s="58">
        <f t="shared" si="57"/>
        <v>-0.23353968078638432</v>
      </c>
      <c r="AI61" s="58">
        <f t="shared" si="57"/>
        <v>0.39097748381181208</v>
      </c>
      <c r="AJ61" s="58">
        <f t="shared" si="57"/>
        <v>-0.3427217397911676</v>
      </c>
      <c r="AK61" s="58">
        <f t="shared" si="57"/>
        <v>-0.12713419598537723</v>
      </c>
      <c r="AL61" s="58">
        <f t="shared" si="57"/>
        <v>6.8293715351339435E-2</v>
      </c>
      <c r="AM61" s="58">
        <f t="shared" si="57"/>
        <v>-4.3786600522521812E-4</v>
      </c>
      <c r="AN61" s="58">
        <f t="shared" si="57"/>
        <v>0.1936980042885228</v>
      </c>
      <c r="AO61" s="58">
        <f t="shared" si="57"/>
        <v>3.4835360313140828E-2</v>
      </c>
    </row>
    <row r="62" spans="1:41">
      <c r="B62" s="1" t="s">
        <v>8</v>
      </c>
      <c r="C62" s="51">
        <v>30</v>
      </c>
      <c r="D62" s="2">
        <v>84.5</v>
      </c>
      <c r="E62" s="38">
        <v>85</v>
      </c>
      <c r="F62" s="2">
        <v>99.999999989999992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1568.7226663400002</v>
      </c>
      <c r="O62" s="2">
        <v>413.02341775999997</v>
      </c>
      <c r="P62" s="2">
        <v>156.38724956000001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58">
        <f t="shared" si="56"/>
        <v>1.8166666666666669</v>
      </c>
      <c r="X62" s="58">
        <f t="shared" si="56"/>
        <v>5.9171597633136397E-3</v>
      </c>
      <c r="Y62" s="58">
        <f t="shared" si="56"/>
        <v>0.17647058811764693</v>
      </c>
      <c r="Z62" s="58">
        <f t="shared" si="56"/>
        <v>-1</v>
      </c>
      <c r="AA62" s="119" t="e">
        <f t="shared" si="56"/>
        <v>#DIV/0!</v>
      </c>
      <c r="AB62" s="119" t="e">
        <f t="shared" si="56"/>
        <v>#DIV/0!</v>
      </c>
      <c r="AC62" s="119" t="e">
        <f t="shared" si="56"/>
        <v>#DIV/0!</v>
      </c>
      <c r="AD62" s="119" t="e">
        <f t="shared" si="56"/>
        <v>#DIV/0!</v>
      </c>
      <c r="AE62" s="119" t="e">
        <f t="shared" si="56"/>
        <v>#DIV/0!</v>
      </c>
      <c r="AF62" s="119" t="e">
        <f t="shared" si="56"/>
        <v>#DIV/0!</v>
      </c>
      <c r="AG62" s="119" t="e">
        <f t="shared" si="57"/>
        <v>#DIV/0!</v>
      </c>
      <c r="AH62" s="58">
        <f t="shared" si="57"/>
        <v>-0.73671355261052718</v>
      </c>
      <c r="AI62" s="58">
        <f t="shared" si="57"/>
        <v>-0.62135984829103896</v>
      </c>
      <c r="AJ62" s="58">
        <f t="shared" si="57"/>
        <v>-1</v>
      </c>
      <c r="AK62" s="100" t="e">
        <f t="shared" si="57"/>
        <v>#DIV/0!</v>
      </c>
      <c r="AL62" s="100" t="e">
        <f t="shared" si="57"/>
        <v>#DIV/0!</v>
      </c>
      <c r="AM62" s="100" t="e">
        <f t="shared" si="57"/>
        <v>#DIV/0!</v>
      </c>
      <c r="AN62" s="100" t="e">
        <f t="shared" si="57"/>
        <v>#DIV/0!</v>
      </c>
      <c r="AO62" s="100" t="e">
        <f t="shared" si="57"/>
        <v>#DIV/0!</v>
      </c>
    </row>
    <row r="63" spans="1:41">
      <c r="B63" s="101" t="s">
        <v>38</v>
      </c>
      <c r="C63" s="51">
        <v>13733.1</v>
      </c>
      <c r="D63" s="2">
        <v>1194.8</v>
      </c>
      <c r="E63" s="38">
        <f>4408</f>
        <v>4408</v>
      </c>
      <c r="F63" s="2">
        <v>22882.491662029999</v>
      </c>
      <c r="G63" s="2">
        <v>26160.974778699998</v>
      </c>
      <c r="H63" s="2">
        <v>25385.717347049998</v>
      </c>
      <c r="I63" s="2">
        <v>11690.429577880001</v>
      </c>
      <c r="J63" s="2">
        <v>40681.889100629996</v>
      </c>
      <c r="K63" s="2">
        <v>72820.383157610006</v>
      </c>
      <c r="L63" s="2">
        <v>95204.140608639995</v>
      </c>
      <c r="M63" s="2">
        <v>124528.83770490999</v>
      </c>
      <c r="N63" s="2">
        <v>60411.656862139993</v>
      </c>
      <c r="O63" s="2">
        <v>33144.045755350002</v>
      </c>
      <c r="P63" s="2">
        <v>136282.45411483</v>
      </c>
      <c r="Q63" s="2">
        <v>26578.022931129999</v>
      </c>
      <c r="R63" s="2">
        <v>35612.472500130003</v>
      </c>
      <c r="S63" s="2">
        <v>60010.179121959998</v>
      </c>
      <c r="T63" s="2">
        <v>22036.523865719999</v>
      </c>
      <c r="U63" s="2">
        <v>63380.712423619996</v>
      </c>
      <c r="V63" s="2">
        <v>111833.13886021001</v>
      </c>
      <c r="W63" s="58">
        <f t="shared" si="56"/>
        <v>-0.91299852181954544</v>
      </c>
      <c r="X63" s="58">
        <f t="shared" si="56"/>
        <v>2.6893203883495147</v>
      </c>
      <c r="Y63" s="58">
        <f t="shared" si="56"/>
        <v>4.191127872511343</v>
      </c>
      <c r="Z63" s="58">
        <f t="shared" si="56"/>
        <v>0.14327474320072153</v>
      </c>
      <c r="AA63" s="58">
        <f t="shared" si="56"/>
        <v>-2.963411869045518E-2</v>
      </c>
      <c r="AB63" s="58">
        <f t="shared" si="56"/>
        <v>-0.53948791684476416</v>
      </c>
      <c r="AC63" s="58">
        <f t="shared" si="56"/>
        <v>2.4799310692231593</v>
      </c>
      <c r="AD63" s="58">
        <f t="shared" si="56"/>
        <v>0.7899951247957735</v>
      </c>
      <c r="AE63" s="58">
        <f t="shared" si="56"/>
        <v>0.30738313203575607</v>
      </c>
      <c r="AF63" s="58">
        <f t="shared" si="56"/>
        <v>0.30801913560478811</v>
      </c>
      <c r="AG63" s="58">
        <f t="shared" si="57"/>
        <v>-0.51487817620771026</v>
      </c>
      <c r="AH63" s="58">
        <f t="shared" si="57"/>
        <v>-0.45136340440082534</v>
      </c>
      <c r="AI63" s="58">
        <f t="shared" si="57"/>
        <v>3.1118231347128686</v>
      </c>
      <c r="AJ63" s="58">
        <f t="shared" si="57"/>
        <v>-0.80497839502702484</v>
      </c>
      <c r="AK63" s="58">
        <f t="shared" si="57"/>
        <v>0.3399218065395766</v>
      </c>
      <c r="AL63" s="58">
        <f t="shared" si="57"/>
        <v>0.68508881605288519</v>
      </c>
      <c r="AM63" s="58">
        <f t="shared" si="57"/>
        <v>-0.63278690068672039</v>
      </c>
      <c r="AN63" s="58">
        <f t="shared" si="57"/>
        <v>1.8761665319735381</v>
      </c>
      <c r="AO63" s="58">
        <f t="shared" si="57"/>
        <v>0.76446642178375579</v>
      </c>
    </row>
    <row r="64" spans="1:41">
      <c r="B64" s="18"/>
      <c r="C64" s="51"/>
      <c r="D64" s="2"/>
      <c r="E64" s="3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</row>
    <row r="65" spans="1:41">
      <c r="B65" s="16" t="s">
        <v>50</v>
      </c>
      <c r="C65" s="51"/>
      <c r="D65" s="2"/>
      <c r="E65" s="38">
        <v>64904.7</v>
      </c>
      <c r="F65" s="21">
        <f>F66-F67</f>
        <v>0</v>
      </c>
      <c r="G65" s="21">
        <f>G66-G67</f>
        <v>0</v>
      </c>
      <c r="H65" s="21">
        <f>H66-H67</f>
        <v>0</v>
      </c>
      <c r="I65" s="21">
        <f>I66-I67</f>
        <v>0</v>
      </c>
      <c r="J65" s="21">
        <f>J66-J67</f>
        <v>0</v>
      </c>
      <c r="K65" s="21">
        <f t="shared" ref="K65:V65" si="60">+K66-K67</f>
        <v>1199.5</v>
      </c>
      <c r="L65" s="21">
        <f t="shared" si="60"/>
        <v>3877.1171084099997</v>
      </c>
      <c r="M65" s="21">
        <f t="shared" si="60"/>
        <v>3962.2340229899992</v>
      </c>
      <c r="N65" s="21">
        <f t="shared" si="60"/>
        <v>662.9424130000001</v>
      </c>
      <c r="O65" s="21">
        <f t="shared" si="60"/>
        <v>673.14005049000002</v>
      </c>
      <c r="P65" s="21">
        <f t="shared" si="60"/>
        <v>31906.560712530001</v>
      </c>
      <c r="Q65" s="21">
        <f t="shared" si="60"/>
        <v>862.17125576000001</v>
      </c>
      <c r="R65" s="21">
        <f t="shared" si="60"/>
        <v>4505.1821919700005</v>
      </c>
      <c r="S65" s="21">
        <f t="shared" si="60"/>
        <v>5377.2888820600001</v>
      </c>
      <c r="T65" s="21">
        <f t="shared" si="60"/>
        <v>4649.5974864199998</v>
      </c>
      <c r="U65" s="21">
        <f t="shared" si="60"/>
        <v>36938.777300000002</v>
      </c>
      <c r="V65" s="21">
        <f t="shared" si="60"/>
        <v>37238.303119999997</v>
      </c>
      <c r="W65" s="119" t="e">
        <f t="shared" ref="W65:AF67" si="61">+D65/C65-1</f>
        <v>#DIV/0!</v>
      </c>
      <c r="X65" s="119" t="e">
        <f t="shared" si="61"/>
        <v>#DIV/0!</v>
      </c>
      <c r="Y65" s="58">
        <f t="shared" si="61"/>
        <v>-1</v>
      </c>
      <c r="Z65" s="119" t="e">
        <f t="shared" si="61"/>
        <v>#DIV/0!</v>
      </c>
      <c r="AA65" s="119" t="e">
        <f t="shared" si="61"/>
        <v>#DIV/0!</v>
      </c>
      <c r="AB65" s="119" t="e">
        <f t="shared" si="61"/>
        <v>#DIV/0!</v>
      </c>
      <c r="AC65" s="119" t="e">
        <f t="shared" si="61"/>
        <v>#DIV/0!</v>
      </c>
      <c r="AD65" s="119" t="e">
        <f t="shared" si="61"/>
        <v>#DIV/0!</v>
      </c>
      <c r="AE65" s="58">
        <f t="shared" si="61"/>
        <v>2.2322777060525216</v>
      </c>
      <c r="AF65" s="58">
        <f t="shared" si="61"/>
        <v>2.1953660980569722E-2</v>
      </c>
      <c r="AG65" s="58">
        <f t="shared" ref="AG65:AO67" si="62">+N65/M65-1</f>
        <v>-0.83268469021430302</v>
      </c>
      <c r="AH65" s="58">
        <f t="shared" si="62"/>
        <v>1.5382388107969769E-2</v>
      </c>
      <c r="AI65" s="58">
        <f t="shared" si="62"/>
        <v>46.399587484512622</v>
      </c>
      <c r="AJ65" s="58">
        <f t="shared" si="62"/>
        <v>-0.97297824533556143</v>
      </c>
      <c r="AK65" s="58">
        <f t="shared" si="62"/>
        <v>4.2253913150916906</v>
      </c>
      <c r="AL65" s="58">
        <f t="shared" si="62"/>
        <v>0.19357856196014334</v>
      </c>
      <c r="AM65" s="58">
        <f t="shared" si="62"/>
        <v>-0.13532681832805438</v>
      </c>
      <c r="AN65" s="58">
        <f t="shared" si="62"/>
        <v>6.9445107684883389</v>
      </c>
      <c r="AO65" s="58">
        <f t="shared" si="62"/>
        <v>8.1087096513070556E-3</v>
      </c>
    </row>
    <row r="66" spans="1:41">
      <c r="B66" s="55" t="s">
        <v>49</v>
      </c>
      <c r="C66" s="51"/>
      <c r="D66" s="2"/>
      <c r="E66" s="38">
        <v>64904.7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38">
        <v>1199.5</v>
      </c>
      <c r="L66" s="38">
        <v>3877.1171084099997</v>
      </c>
      <c r="M66" s="38">
        <v>3962.2340229899992</v>
      </c>
      <c r="N66" s="38">
        <v>662.9424130000001</v>
      </c>
      <c r="O66" s="38">
        <v>673.14005049000002</v>
      </c>
      <c r="P66" s="38">
        <v>31906.560712530001</v>
      </c>
      <c r="Q66" s="38">
        <v>862.17125576000001</v>
      </c>
      <c r="R66" s="38">
        <v>4505.1821919700005</v>
      </c>
      <c r="S66" s="38">
        <v>5377.2888820600001</v>
      </c>
      <c r="T66" s="38">
        <v>4649.5974864199998</v>
      </c>
      <c r="U66" s="38">
        <v>36938.777300000002</v>
      </c>
      <c r="V66" s="38">
        <v>37238.303119999997</v>
      </c>
      <c r="W66" s="119" t="e">
        <f t="shared" si="61"/>
        <v>#DIV/0!</v>
      </c>
      <c r="X66" s="119" t="e">
        <f t="shared" si="61"/>
        <v>#DIV/0!</v>
      </c>
      <c r="Y66" s="58">
        <f t="shared" si="61"/>
        <v>-1</v>
      </c>
      <c r="Z66" s="119" t="e">
        <f t="shared" si="61"/>
        <v>#DIV/0!</v>
      </c>
      <c r="AA66" s="119" t="e">
        <f t="shared" si="61"/>
        <v>#DIV/0!</v>
      </c>
      <c r="AB66" s="119" t="e">
        <f t="shared" si="61"/>
        <v>#DIV/0!</v>
      </c>
      <c r="AC66" s="119" t="e">
        <f t="shared" si="61"/>
        <v>#DIV/0!</v>
      </c>
      <c r="AD66" s="119" t="e">
        <f t="shared" si="61"/>
        <v>#DIV/0!</v>
      </c>
      <c r="AE66" s="58">
        <f t="shared" si="61"/>
        <v>2.2322777060525216</v>
      </c>
      <c r="AF66" s="58">
        <f t="shared" si="61"/>
        <v>2.1953660980569722E-2</v>
      </c>
      <c r="AG66" s="58">
        <f t="shared" si="62"/>
        <v>-0.83268469021430302</v>
      </c>
      <c r="AH66" s="58">
        <f t="shared" si="62"/>
        <v>1.5382388107969769E-2</v>
      </c>
      <c r="AI66" s="58">
        <f t="shared" si="62"/>
        <v>46.399587484512622</v>
      </c>
      <c r="AJ66" s="58">
        <f t="shared" si="62"/>
        <v>-0.97297824533556143</v>
      </c>
      <c r="AK66" s="58">
        <f t="shared" si="62"/>
        <v>4.2253913150916906</v>
      </c>
      <c r="AL66" s="58">
        <f t="shared" si="62"/>
        <v>0.19357856196014334</v>
      </c>
      <c r="AM66" s="58">
        <f t="shared" si="62"/>
        <v>-0.13532681832805438</v>
      </c>
      <c r="AN66" s="58">
        <f t="shared" si="62"/>
        <v>6.9445107684883389</v>
      </c>
      <c r="AO66" s="58">
        <f t="shared" si="62"/>
        <v>8.1087096513070556E-3</v>
      </c>
    </row>
    <row r="67" spans="1:41">
      <c r="B67" s="47" t="s">
        <v>51</v>
      </c>
      <c r="C67" s="51"/>
      <c r="D67" s="2"/>
      <c r="E67" s="38"/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119" t="e">
        <f t="shared" si="61"/>
        <v>#DIV/0!</v>
      </c>
      <c r="X67" s="119" t="e">
        <f t="shared" si="61"/>
        <v>#DIV/0!</v>
      </c>
      <c r="Y67" s="119" t="e">
        <f t="shared" si="61"/>
        <v>#DIV/0!</v>
      </c>
      <c r="Z67" s="119" t="e">
        <f t="shared" si="61"/>
        <v>#DIV/0!</v>
      </c>
      <c r="AA67" s="119" t="e">
        <f t="shared" si="61"/>
        <v>#DIV/0!</v>
      </c>
      <c r="AB67" s="119" t="e">
        <f t="shared" si="61"/>
        <v>#DIV/0!</v>
      </c>
      <c r="AC67" s="119" t="e">
        <f t="shared" si="61"/>
        <v>#DIV/0!</v>
      </c>
      <c r="AD67" s="119" t="e">
        <f t="shared" si="61"/>
        <v>#DIV/0!</v>
      </c>
      <c r="AE67" s="119" t="e">
        <f t="shared" si="61"/>
        <v>#DIV/0!</v>
      </c>
      <c r="AF67" s="119" t="e">
        <f t="shared" si="61"/>
        <v>#DIV/0!</v>
      </c>
      <c r="AG67" s="119" t="e">
        <f t="shared" si="62"/>
        <v>#DIV/0!</v>
      </c>
      <c r="AH67" s="119" t="e">
        <f t="shared" si="62"/>
        <v>#DIV/0!</v>
      </c>
      <c r="AI67" s="119" t="e">
        <f t="shared" si="62"/>
        <v>#DIV/0!</v>
      </c>
      <c r="AJ67" s="119" t="e">
        <f t="shared" si="62"/>
        <v>#DIV/0!</v>
      </c>
      <c r="AK67" s="119" t="e">
        <f t="shared" si="62"/>
        <v>#DIV/0!</v>
      </c>
      <c r="AL67" s="119" t="e">
        <f t="shared" si="62"/>
        <v>#DIV/0!</v>
      </c>
      <c r="AM67" s="119" t="e">
        <f t="shared" si="62"/>
        <v>#DIV/0!</v>
      </c>
      <c r="AN67" s="119" t="e">
        <f t="shared" si="62"/>
        <v>#DIV/0!</v>
      </c>
      <c r="AO67" s="119" t="e">
        <f t="shared" si="62"/>
        <v>#DIV/0!</v>
      </c>
    </row>
    <row r="68" spans="1:41" ht="12" customHeight="1">
      <c r="B68" s="18"/>
      <c r="C68" s="51"/>
      <c r="D68" s="2"/>
      <c r="E68" s="3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</row>
    <row r="69" spans="1:41">
      <c r="A69" s="5" t="s">
        <v>17</v>
      </c>
      <c r="B69" s="4" t="s">
        <v>21</v>
      </c>
      <c r="C69" s="22">
        <f t="shared" ref="C69:S69" si="63">+C9-C38</f>
        <v>315644.3754028501</v>
      </c>
      <c r="D69" s="22">
        <f t="shared" si="63"/>
        <v>497210.65064843069</v>
      </c>
      <c r="E69" s="22">
        <f t="shared" si="63"/>
        <v>369684.54495154973</v>
      </c>
      <c r="F69" s="22">
        <f t="shared" si="63"/>
        <v>-212933.37021532934</v>
      </c>
      <c r="G69" s="22">
        <f t="shared" si="63"/>
        <v>-579849.09047097946</v>
      </c>
      <c r="H69" s="22">
        <f t="shared" si="63"/>
        <v>-395987.39922993956</v>
      </c>
      <c r="I69" s="22">
        <f t="shared" si="63"/>
        <v>-529425.03459612094</v>
      </c>
      <c r="J69" s="22">
        <f t="shared" si="63"/>
        <v>-703582.87095915014</v>
      </c>
      <c r="K69" s="22">
        <f t="shared" si="63"/>
        <v>-830918.31537627336</v>
      </c>
      <c r="L69" s="22">
        <f t="shared" si="63"/>
        <v>-866203.13620863948</v>
      </c>
      <c r="M69" s="22">
        <f t="shared" si="63"/>
        <v>-758363.67759535927</v>
      </c>
      <c r="N69" s="22">
        <f t="shared" si="63"/>
        <v>-996529.87571730092</v>
      </c>
      <c r="O69" s="22">
        <f t="shared" si="63"/>
        <v>-809801.13899538945</v>
      </c>
      <c r="P69" s="22">
        <f t="shared" si="63"/>
        <v>-1000173.0712731415</v>
      </c>
      <c r="Q69" s="22">
        <f t="shared" si="63"/>
        <v>-1224621.9691118496</v>
      </c>
      <c r="R69" s="22">
        <f t="shared" si="63"/>
        <v>-111803.6220398182</v>
      </c>
      <c r="S69" s="22">
        <f t="shared" si="63"/>
        <v>927391.43193104025</v>
      </c>
      <c r="T69" s="22">
        <f>+T9-T38</f>
        <v>729711.96106999926</v>
      </c>
      <c r="U69" s="22">
        <f>+U9-U38</f>
        <v>520695.67945209984</v>
      </c>
      <c r="V69" s="22">
        <f>+V9-V38</f>
        <v>487920.09944941755</v>
      </c>
      <c r="W69" s="61">
        <f t="shared" ref="W69:AO69" si="64">+D69/C69-1</f>
        <v>0.57522417440149676</v>
      </c>
      <c r="X69" s="61">
        <f t="shared" si="64"/>
        <v>-0.25648305306929664</v>
      </c>
      <c r="Y69" s="61">
        <f t="shared" si="64"/>
        <v>-1.5759866705902894</v>
      </c>
      <c r="Z69" s="61">
        <f t="shared" si="64"/>
        <v>1.7231480433743465</v>
      </c>
      <c r="AA69" s="61">
        <f t="shared" si="64"/>
        <v>-0.3170854180209185</v>
      </c>
      <c r="AB69" s="61">
        <f t="shared" si="64"/>
        <v>0.33697444824171696</v>
      </c>
      <c r="AC69" s="61">
        <f t="shared" si="64"/>
        <v>0.32895655660841183</v>
      </c>
      <c r="AD69" s="61">
        <f t="shared" si="64"/>
        <v>0.18098144464991717</v>
      </c>
      <c r="AE69" s="61">
        <f t="shared" si="64"/>
        <v>4.2464849046428554E-2</v>
      </c>
      <c r="AF69" s="61">
        <f t="shared" si="64"/>
        <v>-0.12449673073834877</v>
      </c>
      <c r="AG69" s="61">
        <f t="shared" si="64"/>
        <v>0.3140527495688159</v>
      </c>
      <c r="AH69" s="61">
        <f t="shared" si="64"/>
        <v>-0.18737896501848916</v>
      </c>
      <c r="AI69" s="61">
        <f t="shared" si="64"/>
        <v>0.23508479194524323</v>
      </c>
      <c r="AJ69" s="61">
        <f t="shared" si="64"/>
        <v>0.22441005890410781</v>
      </c>
      <c r="AK69" s="61">
        <f t="shared" si="64"/>
        <v>-0.90870356333644486</v>
      </c>
      <c r="AL69" s="61">
        <f t="shared" si="64"/>
        <v>-9.2948245773357439</v>
      </c>
      <c r="AM69" s="61">
        <f t="shared" si="64"/>
        <v>-0.21315645589848431</v>
      </c>
      <c r="AN69" s="61">
        <f t="shared" si="64"/>
        <v>-0.28643669388591686</v>
      </c>
      <c r="AO69" s="61">
        <f t="shared" si="64"/>
        <v>-6.2945749880564117E-2</v>
      </c>
    </row>
    <row r="70" spans="1:41" ht="14.25">
      <c r="A70" s="2"/>
      <c r="B70" s="49" t="s">
        <v>45</v>
      </c>
      <c r="C70" s="50">
        <f t="shared" ref="C70:O70" si="65">+C69/C$78</f>
        <v>2.7179512439410098E-2</v>
      </c>
      <c r="D70" s="50">
        <f t="shared" si="65"/>
        <v>3.5798744106477605E-2</v>
      </c>
      <c r="E70" s="50">
        <f t="shared" si="65"/>
        <v>2.2807398481012483E-2</v>
      </c>
      <c r="F70" s="50">
        <f t="shared" si="65"/>
        <v>-1.2080539312360883E-2</v>
      </c>
      <c r="G70" s="50">
        <f t="shared" si="65"/>
        <v>-2.92823341116169E-2</v>
      </c>
      <c r="H70" s="50">
        <f t="shared" si="65"/>
        <v>-1.8312805454016482E-2</v>
      </c>
      <c r="I70" s="50">
        <f t="shared" si="65"/>
        <v>-2.2288888281734566E-2</v>
      </c>
      <c r="J70" s="50">
        <f t="shared" si="65"/>
        <v>-2.7631627280172353E-2</v>
      </c>
      <c r="K70" s="50">
        <f t="shared" si="65"/>
        <v>-2.9674247137349063E-2</v>
      </c>
      <c r="L70" s="50">
        <f t="shared" si="65"/>
        <v>-2.8491740484478601E-2</v>
      </c>
      <c r="M70" s="50">
        <f t="shared" si="65"/>
        <v>-2.3657251671307326E-2</v>
      </c>
      <c r="N70" s="50">
        <f t="shared" si="65"/>
        <v>-2.9016425110853498E-2</v>
      </c>
      <c r="O70" s="50">
        <f t="shared" si="65"/>
        <v>-2.2485282912827233E-2</v>
      </c>
      <c r="P70" s="50">
        <f t="shared" ref="P70:U70" si="66">+P69/P$78</f>
        <v>-2.6437119671529025E-2</v>
      </c>
      <c r="Q70" s="50">
        <f t="shared" si="66"/>
        <v>-3.3555657259259415E-2</v>
      </c>
      <c r="R70" s="50">
        <f t="shared" si="66"/>
        <v>-2.7724516853322688E-3</v>
      </c>
      <c r="S70" s="50">
        <f t="shared" si="66"/>
        <v>2.0183746877149272E-2</v>
      </c>
      <c r="T70" s="50">
        <f t="shared" si="66"/>
        <v>1.5326546291114662E-2</v>
      </c>
      <c r="U70" s="50">
        <f t="shared" si="66"/>
        <v>1.0451712520865217E-2</v>
      </c>
      <c r="V70" s="50">
        <f t="shared" ref="V70" si="67">+V69/V$78</f>
        <v>9.4170705144483152E-3</v>
      </c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</row>
    <row r="71" spans="1:41">
      <c r="A71" s="5" t="s">
        <v>18</v>
      </c>
      <c r="B71" s="4" t="s">
        <v>20</v>
      </c>
      <c r="C71" s="22">
        <f t="shared" ref="C71:S71" si="68">+C9-C36</f>
        <v>-121057.72459714999</v>
      </c>
      <c r="D71" s="22">
        <f t="shared" si="68"/>
        <v>77568.350648430642</v>
      </c>
      <c r="E71" s="22">
        <f t="shared" si="68"/>
        <v>29598.744951549452</v>
      </c>
      <c r="F71" s="22">
        <f t="shared" si="68"/>
        <v>-573040.07021532953</v>
      </c>
      <c r="G71" s="22">
        <f t="shared" si="68"/>
        <v>-981397.70966511965</v>
      </c>
      <c r="H71" s="22">
        <f t="shared" si="68"/>
        <v>-845365.39648208953</v>
      </c>
      <c r="I71" s="22">
        <f t="shared" si="68"/>
        <v>-1001190.8328518411</v>
      </c>
      <c r="J71" s="22">
        <f t="shared" si="68"/>
        <v>-1334983.6604256998</v>
      </c>
      <c r="K71" s="22">
        <f t="shared" si="68"/>
        <v>-1526997.9009274133</v>
      </c>
      <c r="L71" s="22">
        <f t="shared" si="68"/>
        <v>-1666163.3017527098</v>
      </c>
      <c r="M71" s="22">
        <f t="shared" si="68"/>
        <v>-1632952.6995190391</v>
      </c>
      <c r="N71" s="22">
        <f t="shared" si="68"/>
        <v>-2018877.4029588308</v>
      </c>
      <c r="O71" s="22">
        <f t="shared" si="68"/>
        <v>-2038511.5324910199</v>
      </c>
      <c r="P71" s="22">
        <f t="shared" si="68"/>
        <v>-2517426.9313069014</v>
      </c>
      <c r="Q71" s="22">
        <f t="shared" si="68"/>
        <v>-2905930.3928906601</v>
      </c>
      <c r="R71" s="22">
        <f t="shared" si="68"/>
        <v>-2013023.4762442987</v>
      </c>
      <c r="S71" s="22">
        <f t="shared" si="68"/>
        <v>-1116751.9331186302</v>
      </c>
      <c r="T71" s="22">
        <f>+T9-T36</f>
        <v>-1532119.2576820906</v>
      </c>
      <c r="U71" s="22">
        <f>+U9-U36</f>
        <v>-1853703.97495858</v>
      </c>
      <c r="V71" s="22">
        <f>+V9-V36</f>
        <v>-1766928.2807744117</v>
      </c>
      <c r="W71" s="61">
        <f t="shared" ref="W71:AO71" si="69">+D71/C71-1</f>
        <v>-1.6407550687621035</v>
      </c>
      <c r="X71" s="61">
        <f t="shared" si="69"/>
        <v>-0.61841724486701732</v>
      </c>
      <c r="Y71" s="61">
        <f t="shared" si="69"/>
        <v>-20.360282713113204</v>
      </c>
      <c r="Z71" s="61">
        <f t="shared" si="69"/>
        <v>0.7126162037784598</v>
      </c>
      <c r="AA71" s="61">
        <f t="shared" si="69"/>
        <v>-0.13861079136759769</v>
      </c>
      <c r="AB71" s="61">
        <f t="shared" si="69"/>
        <v>0.18432909250627572</v>
      </c>
      <c r="AC71" s="61">
        <f t="shared" si="69"/>
        <v>0.33339580889196396</v>
      </c>
      <c r="AD71" s="61">
        <f t="shared" si="69"/>
        <v>0.1438326521842852</v>
      </c>
      <c r="AE71" s="61">
        <f t="shared" si="69"/>
        <v>9.1136602572128744E-2</v>
      </c>
      <c r="AF71" s="61">
        <f t="shared" si="69"/>
        <v>-1.9932381297040336E-2</v>
      </c>
      <c r="AG71" s="61">
        <f t="shared" si="69"/>
        <v>0.23633550656639346</v>
      </c>
      <c r="AH71" s="61">
        <f t="shared" si="69"/>
        <v>9.7252708378496866E-3</v>
      </c>
      <c r="AI71" s="61">
        <f t="shared" si="69"/>
        <v>0.23493386776706449</v>
      </c>
      <c r="AJ71" s="61">
        <f t="shared" si="69"/>
        <v>0.15432561587083304</v>
      </c>
      <c r="AK71" s="61">
        <f t="shared" si="69"/>
        <v>-0.30727057978775141</v>
      </c>
      <c r="AL71" s="61">
        <f t="shared" si="69"/>
        <v>-0.44523650802018655</v>
      </c>
      <c r="AM71" s="61">
        <f t="shared" si="69"/>
        <v>0.37194233763581663</v>
      </c>
      <c r="AN71" s="61">
        <f t="shared" si="69"/>
        <v>0.20989535616372823</v>
      </c>
      <c r="AO71" s="61">
        <f t="shared" si="69"/>
        <v>-4.6812055946585107E-2</v>
      </c>
    </row>
    <row r="72" spans="1:41" ht="14.25">
      <c r="B72" s="49" t="s">
        <v>45</v>
      </c>
      <c r="C72" s="50">
        <f t="shared" ref="C72:N72" si="70">+C71/C$78</f>
        <v>-1.0424041066391866E-2</v>
      </c>
      <c r="D72" s="50">
        <f t="shared" si="70"/>
        <v>5.5848552962477838E-3</v>
      </c>
      <c r="E72" s="50">
        <f t="shared" si="70"/>
        <v>1.8260713894228888E-3</v>
      </c>
      <c r="F72" s="50">
        <f t="shared" si="70"/>
        <v>-3.2510794756095772E-2</v>
      </c>
      <c r="G72" s="50">
        <f t="shared" si="70"/>
        <v>-4.9560508247840224E-2</v>
      </c>
      <c r="H72" s="50">
        <f t="shared" si="70"/>
        <v>-3.9094708754468709E-2</v>
      </c>
      <c r="I72" s="50">
        <f t="shared" si="70"/>
        <v>-4.2150312440655736E-2</v>
      </c>
      <c r="J72" s="50">
        <f t="shared" si="70"/>
        <v>-5.2428466428860523E-2</v>
      </c>
      <c r="K72" s="50">
        <f t="shared" si="70"/>
        <v>-5.4533053673048455E-2</v>
      </c>
      <c r="L72" s="50">
        <f t="shared" si="70"/>
        <v>-5.4804572292457984E-2</v>
      </c>
      <c r="M72" s="50">
        <f t="shared" si="70"/>
        <v>-5.0940167786457546E-2</v>
      </c>
      <c r="N72" s="50">
        <f t="shared" si="70"/>
        <v>-5.8784594820885896E-2</v>
      </c>
      <c r="O72" s="50">
        <f t="shared" ref="O72:T72" si="71">+O71/O$78</f>
        <v>-5.6602178389110108E-2</v>
      </c>
      <c r="P72" s="50">
        <f t="shared" si="71"/>
        <v>-6.6542000538540036E-2</v>
      </c>
      <c r="Q72" s="50">
        <f t="shared" si="71"/>
        <v>-7.9624902004512402E-2</v>
      </c>
      <c r="R72" s="50">
        <f t="shared" si="71"/>
        <v>-4.991797427939574E-2</v>
      </c>
      <c r="S72" s="50">
        <f t="shared" si="71"/>
        <v>-2.4304988774480757E-2</v>
      </c>
      <c r="T72" s="50">
        <f t="shared" si="71"/>
        <v>-3.2179953158421946E-2</v>
      </c>
      <c r="U72" s="50">
        <f>+U71/U$78</f>
        <v>-3.7208645682327991E-2</v>
      </c>
      <c r="V72" s="50">
        <f>+V71/V$78</f>
        <v>-3.4102485699609004E-2</v>
      </c>
      <c r="W72" s="50"/>
      <c r="X72" s="50"/>
      <c r="Y72" s="50"/>
      <c r="Z72" s="50"/>
      <c r="AA72" s="50"/>
      <c r="AB72" s="50"/>
      <c r="AC72" s="50"/>
      <c r="AD72" s="19"/>
      <c r="AJ72" s="50"/>
      <c r="AK72" s="54"/>
    </row>
    <row r="73" spans="1:41">
      <c r="B73" s="3"/>
      <c r="C73" s="31"/>
      <c r="D73" s="31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1"/>
      <c r="X73" s="31"/>
      <c r="Y73" s="31"/>
      <c r="Z73" s="31"/>
      <c r="AA73" s="31"/>
      <c r="AB73" s="31"/>
      <c r="AC73" s="31"/>
      <c r="AD73" s="31"/>
      <c r="AE73" s="2"/>
      <c r="AF73" s="2"/>
      <c r="AG73" s="2"/>
      <c r="AJ73" s="3"/>
    </row>
    <row r="74" spans="1:41">
      <c r="B74" s="32" t="s">
        <v>39</v>
      </c>
      <c r="C74" s="2"/>
      <c r="D74" s="2"/>
      <c r="F74" s="43">
        <f t="shared" ref="F74:O74" si="72">F75+F76</f>
        <v>511194.12400015822</v>
      </c>
      <c r="G74" s="43">
        <f t="shared" si="72"/>
        <v>976172.25599769724</v>
      </c>
      <c r="H74" s="43">
        <f t="shared" si="72"/>
        <v>820899.904011962</v>
      </c>
      <c r="I74" s="43">
        <f t="shared" si="72"/>
        <v>1001190.8598919711</v>
      </c>
      <c r="J74" s="43">
        <f t="shared" si="72"/>
        <v>1334983.7314266849</v>
      </c>
      <c r="K74" s="43">
        <f t="shared" si="72"/>
        <v>1526997.896439658</v>
      </c>
      <c r="L74" s="43">
        <f t="shared" si="72"/>
        <v>1666163.2709689951</v>
      </c>
      <c r="M74" s="43">
        <f t="shared" si="72"/>
        <v>1632952.6928599917</v>
      </c>
      <c r="N74" s="43">
        <f t="shared" si="72"/>
        <v>2018877.3674416707</v>
      </c>
      <c r="O74" s="43">
        <f t="shared" si="72"/>
        <v>2038511.5411695244</v>
      </c>
      <c r="P74" s="43">
        <f t="shared" ref="P74:V74" si="73">P75+P76</f>
        <v>2517426.8721859343</v>
      </c>
      <c r="Q74" s="43">
        <f t="shared" si="73"/>
        <v>2905930.4457885935</v>
      </c>
      <c r="R74" s="43">
        <f t="shared" si="73"/>
        <v>2013023.4813070763</v>
      </c>
      <c r="S74" s="43">
        <f t="shared" si="73"/>
        <v>1116751.9318381329</v>
      </c>
      <c r="T74" s="43">
        <f t="shared" si="73"/>
        <v>1532119.3408869712</v>
      </c>
      <c r="U74" s="43">
        <f t="shared" si="73"/>
        <v>1853703.9767131042</v>
      </c>
      <c r="V74" s="43">
        <f t="shared" si="73"/>
        <v>1766928.345864879</v>
      </c>
      <c r="W74" s="2"/>
      <c r="X74" s="2"/>
      <c r="Y74" s="2"/>
      <c r="Z74" s="2"/>
      <c r="AA74" s="2"/>
      <c r="AB74" s="2"/>
      <c r="AC74" s="2"/>
      <c r="AD74" s="2"/>
      <c r="AJ74" s="43"/>
      <c r="AK74" s="54"/>
    </row>
    <row r="75" spans="1:41">
      <c r="B75" s="33" t="s">
        <v>41</v>
      </c>
      <c r="C75" s="19"/>
      <c r="D75" s="19"/>
      <c r="F75" s="42">
        <v>697503.96212429844</v>
      </c>
      <c r="G75" s="42">
        <v>729450.25599769724</v>
      </c>
      <c r="H75" s="42">
        <v>932701.312341818</v>
      </c>
      <c r="I75" s="42">
        <f>647179.001067203-1907.3</f>
        <v>645271.70106720296</v>
      </c>
      <c r="J75" s="42">
        <f>938929.182117816-5301.3-0.2</f>
        <v>933627.68211781594</v>
      </c>
      <c r="K75" s="42">
        <f>1021847.21333357+16771.9-1142.8</f>
        <v>1037476.31333357</v>
      </c>
      <c r="L75" s="46">
        <v>1063074.5714398602</v>
      </c>
      <c r="M75" s="46">
        <v>1472490.6187437701</v>
      </c>
      <c r="N75" s="46">
        <v>1956885.58559019</v>
      </c>
      <c r="O75" s="46">
        <v>1897756.94777404</v>
      </c>
      <c r="P75" s="46">
        <v>1398837.1212793801</v>
      </c>
      <c r="Q75" s="46">
        <f>2182387.42408183-263.4</f>
        <v>2182124.0240818299</v>
      </c>
      <c r="R75" s="46">
        <v>1367792.2886920499</v>
      </c>
      <c r="S75" s="46">
        <v>65623.877411907495</v>
      </c>
      <c r="T75" s="46">
        <v>351410.04941715603</v>
      </c>
      <c r="U75" s="46">
        <v>1331413.7292444</v>
      </c>
      <c r="V75" s="46">
        <f>1802386.15633917-6954.3</f>
        <v>1795431.8563391699</v>
      </c>
      <c r="W75" s="19"/>
      <c r="X75" s="19"/>
      <c r="Y75" s="19"/>
      <c r="Z75" s="19"/>
      <c r="AA75" s="19"/>
      <c r="AB75" s="19"/>
      <c r="AC75" s="19"/>
      <c r="AD75" s="19"/>
      <c r="AJ75" s="42"/>
      <c r="AK75" s="54"/>
    </row>
    <row r="76" spans="1:41">
      <c r="B76" s="33" t="s">
        <v>42</v>
      </c>
      <c r="C76" s="7"/>
      <c r="D76" s="7"/>
      <c r="F76" s="42">
        <v>-186309.83812414022</v>
      </c>
      <c r="G76" s="42">
        <v>246722</v>
      </c>
      <c r="H76" s="42">
        <v>-111801.408329856</v>
      </c>
      <c r="I76" s="42">
        <v>355919.15882476815</v>
      </c>
      <c r="J76" s="42">
        <v>401356.04930886888</v>
      </c>
      <c r="K76" s="42">
        <v>489521.58310608804</v>
      </c>
      <c r="L76" s="42">
        <v>603088.69952913478</v>
      </c>
      <c r="M76" s="42">
        <v>160462.07411622169</v>
      </c>
      <c r="N76" s="42">
        <v>61991.78185148078</v>
      </c>
      <c r="O76" s="42">
        <v>140754.59339548435</v>
      </c>
      <c r="P76" s="42">
        <v>1118589.7509065543</v>
      </c>
      <c r="Q76" s="42">
        <v>723806.42170676356</v>
      </c>
      <c r="R76" s="42">
        <v>645231.19261502649</v>
      </c>
      <c r="S76" s="42">
        <v>1051128.0544262254</v>
      </c>
      <c r="T76" s="42">
        <v>1180709.2914698152</v>
      </c>
      <c r="U76" s="42">
        <v>522290.24746870412</v>
      </c>
      <c r="V76" s="42">
        <v>-28503.510474290932</v>
      </c>
      <c r="AH76" s="17"/>
      <c r="AI76" s="17"/>
      <c r="AJ76" s="42"/>
    </row>
    <row r="77" spans="1:41" ht="13.5" thickBot="1">
      <c r="B77" s="27"/>
      <c r="C77" s="10"/>
      <c r="D77" s="10"/>
      <c r="E77" s="9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10"/>
      <c r="X77" s="10"/>
      <c r="Y77" s="10"/>
      <c r="Z77" s="10"/>
      <c r="AA77" s="10"/>
      <c r="AB77" s="10"/>
      <c r="AC77" s="10"/>
      <c r="AD77" s="10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</row>
    <row r="78" spans="1:41" ht="15" thickTop="1">
      <c r="B78" s="47" t="s">
        <v>88</v>
      </c>
      <c r="C78" s="102">
        <v>11613320</v>
      </c>
      <c r="D78" s="102">
        <v>13889052.9</v>
      </c>
      <c r="E78" s="102">
        <v>16208974.699999999</v>
      </c>
      <c r="F78" s="102">
        <v>17626147.699999999</v>
      </c>
      <c r="G78" s="102">
        <v>19802010.600000001</v>
      </c>
      <c r="H78" s="102">
        <v>21623524.600000001</v>
      </c>
      <c r="I78" s="102">
        <v>23752868.600000001</v>
      </c>
      <c r="J78" s="102">
        <v>25462954.600000001</v>
      </c>
      <c r="K78" s="102">
        <v>28001327.600000001</v>
      </c>
      <c r="L78" s="102">
        <v>30401903.199999999</v>
      </c>
      <c r="M78" s="102">
        <v>32056288.199999999</v>
      </c>
      <c r="N78" s="102">
        <v>34343647.5</v>
      </c>
      <c r="O78" s="102">
        <v>36014718.700000003</v>
      </c>
      <c r="P78" s="102">
        <v>37832149.784087852</v>
      </c>
      <c r="Q78" s="102">
        <v>36495246.08175943</v>
      </c>
      <c r="R78" s="102">
        <v>40326625.935924627</v>
      </c>
      <c r="S78" s="102">
        <v>45947436.696254477</v>
      </c>
      <c r="T78" s="102">
        <v>47610984.706517927</v>
      </c>
      <c r="U78" s="102">
        <v>49819173.500286385</v>
      </c>
      <c r="V78" s="102">
        <v>51812301.787569404</v>
      </c>
      <c r="W78" s="102"/>
      <c r="X78" s="48"/>
      <c r="Y78" s="48"/>
      <c r="Z78" s="48"/>
      <c r="AA78" s="48"/>
      <c r="AB78" s="48"/>
      <c r="AC78" s="48"/>
      <c r="AD78" s="48"/>
    </row>
    <row r="79" spans="1:41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8"/>
      <c r="X79" s="48"/>
      <c r="Y79" s="48"/>
      <c r="Z79" s="48"/>
      <c r="AA79" s="48"/>
      <c r="AB79" s="48"/>
      <c r="AC79" s="48"/>
      <c r="AD79" s="48"/>
    </row>
    <row r="80" spans="1:41" ht="14.25">
      <c r="B80" s="47" t="s">
        <v>143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8"/>
      <c r="X80" s="48"/>
      <c r="Y80" s="48"/>
      <c r="Z80" s="48"/>
      <c r="AA80" s="48"/>
      <c r="AB80" s="48"/>
      <c r="AC80" s="48"/>
      <c r="AD80" s="48"/>
    </row>
    <row r="81" spans="1:34" ht="14.25">
      <c r="B81" s="47" t="s">
        <v>83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8"/>
      <c r="X81" s="48"/>
      <c r="Y81" s="48"/>
      <c r="Z81" s="48"/>
      <c r="AA81" s="48"/>
      <c r="AB81" s="48"/>
      <c r="AC81" s="48"/>
      <c r="AD81" s="48"/>
    </row>
    <row r="82" spans="1:34" ht="14.25">
      <c r="B82" s="47" t="s">
        <v>84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8"/>
      <c r="X82" s="48"/>
      <c r="Y82" s="48"/>
      <c r="Z82" s="48"/>
      <c r="AA82" s="48"/>
      <c r="AB82" s="48"/>
      <c r="AC82" s="48"/>
      <c r="AD82" s="48"/>
    </row>
    <row r="83" spans="1:34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8"/>
      <c r="X83" s="48"/>
      <c r="Y83" s="48"/>
      <c r="Z83" s="48"/>
      <c r="AA83" s="48"/>
      <c r="AB83" s="48"/>
      <c r="AC83" s="48"/>
      <c r="AD83" s="48"/>
    </row>
    <row r="84" spans="1:34"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51"/>
      <c r="R84" s="51"/>
      <c r="S84" s="51"/>
      <c r="T84" s="51"/>
      <c r="U84" s="51"/>
      <c r="V84" s="51"/>
    </row>
    <row r="85" spans="1:34" ht="14.25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47"/>
      <c r="R85" s="47"/>
      <c r="S85" s="47"/>
      <c r="T85" s="47"/>
      <c r="U85" s="47"/>
      <c r="V85" s="47"/>
    </row>
    <row r="86" spans="1:34">
      <c r="A86" s="200" t="s">
        <v>44</v>
      </c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</row>
    <row r="87" spans="1:34">
      <c r="P87" s="2"/>
    </row>
    <row r="88" spans="1:34">
      <c r="P88" s="2"/>
      <c r="Q88" s="2"/>
      <c r="R88" s="2"/>
      <c r="S88" s="2"/>
      <c r="T88" s="2"/>
      <c r="U88" s="54"/>
      <c r="V88" s="54"/>
    </row>
    <row r="89" spans="1:34"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51"/>
      <c r="Q89" s="110"/>
      <c r="R89" s="110"/>
      <c r="S89" s="110"/>
      <c r="T89" s="110"/>
      <c r="U89" s="110"/>
      <c r="V89" s="110"/>
      <c r="W89" s="110"/>
    </row>
    <row r="90" spans="1:34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51"/>
      <c r="R90" s="51"/>
      <c r="S90" s="51"/>
      <c r="T90" s="51"/>
      <c r="U90" s="51"/>
      <c r="V90" s="51"/>
    </row>
    <row r="91" spans="1:34">
      <c r="L91" s="2"/>
      <c r="P91" s="2"/>
      <c r="Q91" s="51"/>
      <c r="R91" s="51"/>
      <c r="S91" s="51"/>
      <c r="T91" s="51"/>
      <c r="U91" s="51"/>
      <c r="V91" s="51"/>
    </row>
    <row r="92" spans="1:34">
      <c r="Q92" s="51"/>
      <c r="R92" s="51"/>
      <c r="S92" s="51"/>
      <c r="T92" s="51"/>
      <c r="U92" s="51"/>
      <c r="V92" s="51"/>
    </row>
    <row r="93" spans="1:34">
      <c r="Q93" s="51"/>
      <c r="R93" s="51"/>
      <c r="S93" s="51"/>
      <c r="T93" s="51"/>
      <c r="U93" s="51"/>
      <c r="V93" s="51"/>
    </row>
    <row r="94" spans="1:34">
      <c r="L94" s="127"/>
    </row>
  </sheetData>
  <mergeCells count="6">
    <mergeCell ref="A4:AN4"/>
    <mergeCell ref="A86:AH86"/>
    <mergeCell ref="A2:AN2"/>
    <mergeCell ref="A3:AN3"/>
    <mergeCell ref="W6:AO6"/>
    <mergeCell ref="C6:V6"/>
  </mergeCells>
  <phoneticPr fontId="0" type="noConversion"/>
  <pageMargins left="0.23622047244094491" right="0.27559055118110237" top="0.47244094488188981" bottom="0.19685039370078741" header="0" footer="0"/>
  <pageSetup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5B87-E4DD-40F6-BE4F-4F1CD3E0B204}">
  <dimension ref="A1:W72"/>
  <sheetViews>
    <sheetView workbookViewId="0">
      <selection activeCell="Q55" sqref="Q55"/>
    </sheetView>
  </sheetViews>
  <sheetFormatPr baseColWidth="10" defaultRowHeight="11.25"/>
  <cols>
    <col min="1" max="1" width="4.7109375" style="59" customWidth="1"/>
    <col min="2" max="2" width="36.85546875" style="59" customWidth="1"/>
    <col min="3" max="5" width="7.85546875" style="59" bestFit="1" customWidth="1"/>
    <col min="6" max="6" width="6.85546875" style="59" bestFit="1" customWidth="1"/>
    <col min="7" max="7" width="7.140625" style="59" bestFit="1" customWidth="1"/>
    <col min="8" max="8" width="4.28515625" style="59" customWidth="1"/>
    <col min="9" max="9" width="38.7109375" style="59" customWidth="1"/>
    <col min="10" max="10" width="9.140625" style="59" bestFit="1" customWidth="1"/>
    <col min="11" max="11" width="9.140625" style="59" customWidth="1"/>
    <col min="12" max="12" width="9.140625" style="59" bestFit="1" customWidth="1"/>
    <col min="13" max="13" width="6.28515625" style="59" bestFit="1" customWidth="1"/>
    <col min="14" max="14" width="6.85546875" style="59" bestFit="1" customWidth="1"/>
    <col min="15" max="15" width="11.42578125" style="59"/>
    <col min="16" max="16" width="11.42578125" style="60"/>
    <col min="17" max="16384" width="11.42578125" style="59"/>
  </cols>
  <sheetData>
    <row r="1" spans="1:17">
      <c r="B1" s="129"/>
      <c r="C1" s="130" t="s">
        <v>71</v>
      </c>
      <c r="D1" s="130" t="s">
        <v>71</v>
      </c>
      <c r="E1" s="130" t="s">
        <v>71</v>
      </c>
      <c r="F1" s="131" t="s">
        <v>71</v>
      </c>
      <c r="G1" s="131"/>
      <c r="J1" s="60" t="s">
        <v>71</v>
      </c>
      <c r="K1" s="60" t="s">
        <v>71</v>
      </c>
      <c r="L1" s="60" t="s">
        <v>71</v>
      </c>
      <c r="M1" s="131"/>
      <c r="N1" s="131"/>
    </row>
    <row r="2" spans="1:17">
      <c r="B2" s="206" t="s">
        <v>91</v>
      </c>
      <c r="C2" s="206"/>
      <c r="D2" s="206"/>
      <c r="E2" s="206"/>
      <c r="F2" s="206"/>
      <c r="G2" s="206"/>
      <c r="I2" s="206" t="s">
        <v>91</v>
      </c>
      <c r="J2" s="206"/>
      <c r="K2" s="206"/>
      <c r="L2" s="206"/>
      <c r="M2" s="206"/>
      <c r="N2" s="206"/>
    </row>
    <row r="3" spans="1:17">
      <c r="B3" s="206" t="s">
        <v>92</v>
      </c>
      <c r="C3" s="206"/>
      <c r="D3" s="206"/>
      <c r="E3" s="206"/>
      <c r="F3" s="206"/>
      <c r="G3" s="206"/>
      <c r="I3" s="206" t="s">
        <v>92</v>
      </c>
      <c r="J3" s="206"/>
      <c r="K3" s="206"/>
      <c r="L3" s="206"/>
      <c r="M3" s="206"/>
      <c r="N3" s="206"/>
    </row>
    <row r="4" spans="1:17">
      <c r="B4" s="206" t="s">
        <v>93</v>
      </c>
      <c r="C4" s="206"/>
      <c r="D4" s="206"/>
      <c r="E4" s="206"/>
      <c r="F4" s="206"/>
      <c r="G4" s="206"/>
      <c r="I4" s="206" t="s">
        <v>94</v>
      </c>
      <c r="J4" s="206"/>
      <c r="K4" s="206"/>
      <c r="L4" s="206"/>
      <c r="M4" s="206"/>
      <c r="N4" s="206"/>
    </row>
    <row r="5" spans="1:17">
      <c r="B5" s="206" t="s">
        <v>95</v>
      </c>
      <c r="C5" s="206"/>
      <c r="D5" s="206"/>
      <c r="E5" s="206"/>
      <c r="F5" s="206"/>
      <c r="G5" s="206"/>
      <c r="I5" s="206" t="s">
        <v>95</v>
      </c>
      <c r="J5" s="206"/>
      <c r="K5" s="206"/>
      <c r="L5" s="206"/>
      <c r="M5" s="206"/>
      <c r="N5" s="206"/>
    </row>
    <row r="6" spans="1:17">
      <c r="B6" s="132"/>
      <c r="C6" s="132"/>
      <c r="D6" s="132"/>
      <c r="E6" s="132"/>
      <c r="F6" s="132"/>
      <c r="G6" s="132"/>
      <c r="I6" s="132"/>
      <c r="J6" s="132"/>
      <c r="K6" s="132"/>
      <c r="L6" s="132"/>
      <c r="M6" s="132"/>
      <c r="N6" s="132"/>
    </row>
    <row r="7" spans="1:17" ht="11.25" customHeight="1">
      <c r="B7" s="133" t="s">
        <v>0</v>
      </c>
      <c r="C7" s="134">
        <v>2023</v>
      </c>
      <c r="D7" s="134">
        <v>2024</v>
      </c>
      <c r="E7" s="135">
        <v>2025</v>
      </c>
      <c r="F7" s="207" t="s">
        <v>96</v>
      </c>
      <c r="G7" s="208"/>
      <c r="I7" s="133" t="s">
        <v>0</v>
      </c>
      <c r="J7" s="134">
        <v>2023</v>
      </c>
      <c r="K7" s="134">
        <v>2024</v>
      </c>
      <c r="L7" s="135">
        <v>2025</v>
      </c>
      <c r="M7" s="207" t="s">
        <v>96</v>
      </c>
      <c r="N7" s="208"/>
    </row>
    <row r="8" spans="1:17">
      <c r="B8" s="136"/>
      <c r="C8" s="136"/>
      <c r="D8" s="137"/>
      <c r="E8" s="138"/>
      <c r="F8" s="65" t="s">
        <v>79</v>
      </c>
      <c r="G8" s="66" t="s">
        <v>81</v>
      </c>
      <c r="I8" s="136"/>
      <c r="J8" s="134"/>
      <c r="K8" s="134"/>
      <c r="L8" s="135"/>
      <c r="M8" s="66" t="s">
        <v>79</v>
      </c>
      <c r="N8" s="66" t="s">
        <v>81</v>
      </c>
    </row>
    <row r="9" spans="1:17">
      <c r="A9" s="60"/>
      <c r="B9" s="139" t="s">
        <v>97</v>
      </c>
      <c r="C9" s="140">
        <v>786050.52495436999</v>
      </c>
      <c r="D9" s="141">
        <v>825200.86943966988</v>
      </c>
      <c r="E9" s="140">
        <f>E10+E64</f>
        <v>864150.91010631993</v>
      </c>
      <c r="F9" s="67">
        <f>D9/C9-1</f>
        <v>4.9806396971203037E-2</v>
      </c>
      <c r="G9" s="68">
        <f>E9/D9-1</f>
        <v>4.7200678173179744E-2</v>
      </c>
      <c r="I9" s="139" t="s">
        <v>97</v>
      </c>
      <c r="J9" s="142">
        <v>7182231.5229594707</v>
      </c>
      <c r="K9" s="143">
        <v>7410061.309742298</v>
      </c>
      <c r="L9" s="140">
        <f>L10+L64</f>
        <v>7470557.8627761602</v>
      </c>
      <c r="M9" s="68">
        <f>K9/J9-1</f>
        <v>3.1721309185664959E-2</v>
      </c>
      <c r="N9" s="68">
        <f>L9/K9-1</f>
        <v>8.1641096483675568E-3</v>
      </c>
      <c r="Q9" s="60"/>
    </row>
    <row r="10" spans="1:17">
      <c r="A10" s="60"/>
      <c r="B10" s="144" t="s">
        <v>98</v>
      </c>
      <c r="C10" s="145">
        <v>786050.52495436999</v>
      </c>
      <c r="D10" s="146">
        <v>825200.86943966988</v>
      </c>
      <c r="E10" s="147">
        <f>E12++E61+E62+E63</f>
        <v>864150.91010631993</v>
      </c>
      <c r="F10" s="69">
        <f t="shared" ref="F10:G63" si="0">D10/C10-1</f>
        <v>4.9806396971203037E-2</v>
      </c>
      <c r="G10" s="70">
        <f>E10/D10-1</f>
        <v>4.7200678173179744E-2</v>
      </c>
      <c r="I10" s="144" t="s">
        <v>98</v>
      </c>
      <c r="J10" s="145">
        <v>7174880.7782914704</v>
      </c>
      <c r="K10" s="146">
        <v>7402459.5911382977</v>
      </c>
      <c r="L10" s="147">
        <f>L12++L61+L62+L63</f>
        <v>7454128.9124684203</v>
      </c>
      <c r="M10" s="70">
        <f t="shared" ref="M10" si="1">K10/J10-1</f>
        <v>3.1718828490557849E-2</v>
      </c>
      <c r="N10" s="70">
        <f>L10/K10-1</f>
        <v>6.9800207206773823E-3</v>
      </c>
      <c r="P10" s="188"/>
      <c r="Q10" s="60"/>
    </row>
    <row r="11" spans="1:17">
      <c r="A11" s="60"/>
      <c r="B11" s="148"/>
      <c r="C11" s="140"/>
      <c r="D11" s="149"/>
      <c r="E11" s="140"/>
      <c r="F11" s="71"/>
      <c r="G11" s="72"/>
      <c r="I11" s="148"/>
      <c r="J11" s="150"/>
      <c r="K11" s="151"/>
      <c r="L11" s="140"/>
      <c r="M11" s="73"/>
      <c r="N11" s="73"/>
      <c r="Q11" s="60"/>
    </row>
    <row r="12" spans="1:17">
      <c r="A12" s="60"/>
      <c r="B12" s="152" t="s">
        <v>99</v>
      </c>
      <c r="C12" s="111">
        <v>715804.60468734999</v>
      </c>
      <c r="D12" s="122">
        <v>753392.34824396996</v>
      </c>
      <c r="E12" s="123">
        <f>E14+E21+E26+E30+E35+E39+E43+E58+E59</f>
        <v>775210.03845415998</v>
      </c>
      <c r="F12" s="75">
        <f t="shared" si="0"/>
        <v>5.2511178763704036E-2</v>
      </c>
      <c r="G12" s="76">
        <f>E12/D12-1</f>
        <v>2.8959267055264526E-2</v>
      </c>
      <c r="I12" s="153" t="s">
        <v>99</v>
      </c>
      <c r="J12" s="74">
        <v>6423191.3351950701</v>
      </c>
      <c r="K12" s="122">
        <v>6576751.9496135581</v>
      </c>
      <c r="L12" s="123">
        <f>L14+L21+L26+L30+L35+L39+L43+L58+L59</f>
        <v>6623186.1761323102</v>
      </c>
      <c r="M12" s="75">
        <f t="shared" ref="M12" si="2">K12/J12-1</f>
        <v>2.3907214716938574E-2</v>
      </c>
      <c r="N12" s="76">
        <f>L12/K12-1</f>
        <v>7.0603584983131018E-3</v>
      </c>
      <c r="Q12" s="60"/>
    </row>
    <row r="13" spans="1:17">
      <c r="A13" s="60"/>
      <c r="B13" s="154"/>
      <c r="C13" s="112"/>
      <c r="D13" s="112"/>
      <c r="E13" s="192"/>
      <c r="F13" s="78"/>
      <c r="G13" s="79"/>
      <c r="I13" s="155"/>
      <c r="J13" s="77"/>
      <c r="K13" s="112"/>
      <c r="L13" s="192"/>
      <c r="M13" s="78"/>
      <c r="N13" s="79"/>
      <c r="Q13" s="60"/>
    </row>
    <row r="14" spans="1:17">
      <c r="A14" s="60"/>
      <c r="B14" s="156" t="s">
        <v>100</v>
      </c>
      <c r="C14" s="157">
        <v>315016.16979925998</v>
      </c>
      <c r="D14" s="157">
        <v>324350.53224772995</v>
      </c>
      <c r="E14" s="158">
        <f>SUM(E15:E19)</f>
        <v>320288.71161755</v>
      </c>
      <c r="F14" s="80">
        <f t="shared" si="0"/>
        <v>2.9631375603411669E-2</v>
      </c>
      <c r="G14" s="81">
        <f>E14/D14-1</f>
        <v>-1.2522934992681423E-2</v>
      </c>
      <c r="H14" s="159"/>
      <c r="I14" s="160" t="s">
        <v>100</v>
      </c>
      <c r="J14" s="158">
        <v>2489183.0741479699</v>
      </c>
      <c r="K14" s="157">
        <v>2423250.90446684</v>
      </c>
      <c r="L14" s="158">
        <f>SUM(L15:L19)</f>
        <v>2450299.9234390506</v>
      </c>
      <c r="M14" s="80">
        <f t="shared" ref="M14:N18" si="3">K14/J14-1</f>
        <v>-2.6487473085401003E-2</v>
      </c>
      <c r="N14" s="81">
        <f t="shared" si="3"/>
        <v>1.116228572218847E-2</v>
      </c>
      <c r="Q14" s="60"/>
    </row>
    <row r="15" spans="1:17">
      <c r="A15" s="60"/>
      <c r="B15" s="154" t="s">
        <v>101</v>
      </c>
      <c r="C15" s="91">
        <v>56413.09709838</v>
      </c>
      <c r="D15" s="91">
        <v>64973.963502019993</v>
      </c>
      <c r="E15" s="193">
        <v>59065.524145390002</v>
      </c>
      <c r="F15" s="83">
        <f>D15/C15-1</f>
        <v>0.15175317158550117</v>
      </c>
      <c r="G15" s="84">
        <f>E15/D15-1</f>
        <v>-9.09354922829404E-2</v>
      </c>
      <c r="I15" s="155" t="s">
        <v>101</v>
      </c>
      <c r="J15" s="82">
        <v>685983.74074181996</v>
      </c>
      <c r="K15" s="91">
        <v>732266.97361491004</v>
      </c>
      <c r="L15" s="193">
        <v>754637.22879441001</v>
      </c>
      <c r="M15" s="85">
        <f t="shared" si="3"/>
        <v>6.7469868634261854E-2</v>
      </c>
      <c r="N15" s="86">
        <f t="shared" si="3"/>
        <v>3.0549316008432026E-2</v>
      </c>
      <c r="Q15" s="60"/>
    </row>
    <row r="16" spans="1:17">
      <c r="A16" s="60"/>
      <c r="B16" s="154" t="s">
        <v>102</v>
      </c>
      <c r="C16" s="91">
        <v>237010.06145744</v>
      </c>
      <c r="D16" s="91">
        <v>235649.42294960999</v>
      </c>
      <c r="E16" s="193">
        <v>240144.04479935998</v>
      </c>
      <c r="F16" s="83">
        <f t="shared" ref="F16:G18" si="4">D16/C16-1</f>
        <v>-5.7408470318224269E-3</v>
      </c>
      <c r="G16" s="84">
        <f t="shared" si="4"/>
        <v>1.9073341209543626E-2</v>
      </c>
      <c r="I16" s="155" t="s">
        <v>102</v>
      </c>
      <c r="J16" s="82">
        <v>1579123.0320172899</v>
      </c>
      <c r="K16" s="91">
        <v>1449968.52630611</v>
      </c>
      <c r="L16" s="193">
        <v>1465231.1995509902</v>
      </c>
      <c r="M16" s="85">
        <f t="shared" si="3"/>
        <v>-8.1788754322827062E-2</v>
      </c>
      <c r="N16" s="86">
        <f t="shared" si="3"/>
        <v>1.0526210030063821E-2</v>
      </c>
      <c r="Q16" s="60"/>
    </row>
    <row r="17" spans="1:17">
      <c r="A17" s="60"/>
      <c r="B17" s="154" t="s">
        <v>103</v>
      </c>
      <c r="C17" s="91">
        <v>0</v>
      </c>
      <c r="D17" s="91">
        <v>0</v>
      </c>
      <c r="E17" s="193">
        <v>0</v>
      </c>
      <c r="F17" s="161" t="e">
        <f t="shared" si="4"/>
        <v>#DIV/0!</v>
      </c>
      <c r="G17" s="162" t="e">
        <f t="shared" si="4"/>
        <v>#DIV/0!</v>
      </c>
      <c r="I17" s="155" t="s">
        <v>103</v>
      </c>
      <c r="J17" s="82">
        <v>0</v>
      </c>
      <c r="K17" s="91">
        <v>0</v>
      </c>
      <c r="L17" s="193">
        <v>0</v>
      </c>
      <c r="M17" s="163" t="e">
        <f t="shared" si="3"/>
        <v>#DIV/0!</v>
      </c>
      <c r="N17" s="164" t="e">
        <f t="shared" si="3"/>
        <v>#DIV/0!</v>
      </c>
      <c r="Q17" s="60"/>
    </row>
    <row r="18" spans="1:17">
      <c r="A18" s="60"/>
      <c r="B18" s="154" t="s">
        <v>104</v>
      </c>
      <c r="C18" s="91">
        <v>21593.01124344</v>
      </c>
      <c r="D18" s="91">
        <v>23727.145796099998</v>
      </c>
      <c r="E18" s="193">
        <v>21079.142672800001</v>
      </c>
      <c r="F18" s="83">
        <f t="shared" si="4"/>
        <v>9.8834503840141918E-2</v>
      </c>
      <c r="G18" s="84">
        <f t="shared" si="4"/>
        <v>-0.11160226122668515</v>
      </c>
      <c r="I18" s="155" t="s">
        <v>104</v>
      </c>
      <c r="J18" s="82">
        <v>224076.30138886001</v>
      </c>
      <c r="K18" s="91">
        <v>241015.40454581997</v>
      </c>
      <c r="L18" s="193">
        <v>230431.49509364998</v>
      </c>
      <c r="M18" s="85">
        <f t="shared" si="3"/>
        <v>7.5595246137002192E-2</v>
      </c>
      <c r="N18" s="86">
        <f t="shared" si="3"/>
        <v>-4.3913829790733772E-2</v>
      </c>
      <c r="Q18" s="60"/>
    </row>
    <row r="19" spans="1:17">
      <c r="A19" s="60"/>
      <c r="B19" s="154" t="s">
        <v>105</v>
      </c>
      <c r="C19" s="91">
        <v>0</v>
      </c>
      <c r="D19" s="91">
        <v>0</v>
      </c>
      <c r="E19" s="193">
        <v>0</v>
      </c>
      <c r="F19" s="83">
        <v>0</v>
      </c>
      <c r="G19" s="84">
        <v>0</v>
      </c>
      <c r="I19" s="155" t="s">
        <v>105</v>
      </c>
      <c r="J19" s="82">
        <v>0</v>
      </c>
      <c r="K19" s="91">
        <v>0</v>
      </c>
      <c r="L19" s="193">
        <v>0</v>
      </c>
      <c r="M19" s="85">
        <v>0</v>
      </c>
      <c r="N19" s="86">
        <v>0</v>
      </c>
      <c r="Q19" s="60"/>
    </row>
    <row r="20" spans="1:17">
      <c r="A20" s="60"/>
      <c r="B20" s="165"/>
      <c r="C20" s="166"/>
      <c r="D20" s="166"/>
      <c r="E20" s="167"/>
      <c r="F20" s="83"/>
      <c r="G20" s="84"/>
      <c r="H20" s="60"/>
      <c r="I20" s="155"/>
      <c r="J20" s="167"/>
      <c r="K20" s="166"/>
      <c r="L20" s="167"/>
      <c r="M20" s="83"/>
      <c r="N20" s="84"/>
      <c r="Q20" s="60"/>
    </row>
    <row r="21" spans="1:17">
      <c r="A21" s="60"/>
      <c r="B21" s="168" t="s">
        <v>106</v>
      </c>
      <c r="C21" s="169">
        <v>82792.719051659995</v>
      </c>
      <c r="D21" s="170">
        <v>89089.136363860001</v>
      </c>
      <c r="E21" s="169">
        <f t="shared" ref="E21" si="5">SUM(E22:E24)</f>
        <v>127353.14661905001</v>
      </c>
      <c r="F21" s="87">
        <f t="shared" si="0"/>
        <v>7.6050374771134743E-2</v>
      </c>
      <c r="G21" s="88">
        <f>E21/D21-1</f>
        <v>0.42950253888320589</v>
      </c>
      <c r="I21" s="168" t="s">
        <v>106</v>
      </c>
      <c r="J21" s="169">
        <v>230707.88125395999</v>
      </c>
      <c r="K21" s="170">
        <v>198514.28962602999</v>
      </c>
      <c r="L21" s="169">
        <f>SUM(L22:L24)</f>
        <v>263035.45765669004</v>
      </c>
      <c r="M21" s="89">
        <f t="shared" ref="M21:N28" si="6">K21/J21-1</f>
        <v>-0.139542660844307</v>
      </c>
      <c r="N21" s="87">
        <f>L21/K21-1</f>
        <v>0.32502027008840462</v>
      </c>
      <c r="Q21" s="60"/>
    </row>
    <row r="22" spans="1:17">
      <c r="A22" s="60"/>
      <c r="B22" s="155" t="s">
        <v>107</v>
      </c>
      <c r="C22" s="82">
        <v>82234.709698279999</v>
      </c>
      <c r="D22" s="91">
        <v>88453.853755999997</v>
      </c>
      <c r="E22" s="193">
        <v>127935.83144362</v>
      </c>
      <c r="F22" s="84">
        <f t="shared" si="0"/>
        <v>7.5626752748785719E-2</v>
      </c>
      <c r="G22" s="90">
        <f>E22/D22-1</f>
        <v>0.44635678391730749</v>
      </c>
      <c r="I22" s="155" t="s">
        <v>107</v>
      </c>
      <c r="J22" s="82">
        <v>198954.40554276999</v>
      </c>
      <c r="K22" s="91">
        <v>167360.61412206999</v>
      </c>
      <c r="L22" s="193">
        <v>231415.58222142002</v>
      </c>
      <c r="M22" s="58">
        <f t="shared" si="6"/>
        <v>-0.15879915468324812</v>
      </c>
      <c r="N22" s="84">
        <f t="shared" si="6"/>
        <v>0.38273621565841909</v>
      </c>
      <c r="Q22" s="60"/>
    </row>
    <row r="23" spans="1:17">
      <c r="A23" s="60"/>
      <c r="B23" s="155" t="s">
        <v>108</v>
      </c>
      <c r="C23" s="82">
        <v>60.370316880000004</v>
      </c>
      <c r="D23" s="91">
        <v>56.961379000000001</v>
      </c>
      <c r="E23" s="193">
        <v>-64.382171999999997</v>
      </c>
      <c r="F23" s="84">
        <f t="shared" si="0"/>
        <v>-5.6467119209860361E-2</v>
      </c>
      <c r="G23" s="90">
        <f>E23/D23-1</f>
        <v>-2.1302776219655777</v>
      </c>
      <c r="I23" s="155" t="s">
        <v>108</v>
      </c>
      <c r="J23" s="82">
        <v>5423.5095648799997</v>
      </c>
      <c r="K23" s="91">
        <v>5490.8721880000003</v>
      </c>
      <c r="L23" s="193">
        <v>5519.417332</v>
      </c>
      <c r="M23" s="58">
        <f>K23/J23-1</f>
        <v>1.242048572315757E-2</v>
      </c>
      <c r="N23" s="84">
        <f t="shared" si="6"/>
        <v>5.1986538791384262E-3</v>
      </c>
      <c r="Q23" s="60"/>
    </row>
    <row r="24" spans="1:17">
      <c r="A24" s="60"/>
      <c r="B24" s="155" t="s">
        <v>109</v>
      </c>
      <c r="C24" s="82">
        <v>497.63903649999997</v>
      </c>
      <c r="D24" s="91">
        <v>578.32122886000002</v>
      </c>
      <c r="E24" s="193">
        <v>-518.30265256999996</v>
      </c>
      <c r="F24" s="84">
        <f t="shared" si="0"/>
        <v>0.16212995051082579</v>
      </c>
      <c r="G24" s="90">
        <f t="shared" si="0"/>
        <v>-1.8962193097972384</v>
      </c>
      <c r="I24" s="155" t="s">
        <v>109</v>
      </c>
      <c r="J24" s="82">
        <v>26329.966146309998</v>
      </c>
      <c r="K24" s="91">
        <v>25662.803315959995</v>
      </c>
      <c r="L24" s="193">
        <v>26100.458103270001</v>
      </c>
      <c r="M24" s="58">
        <f>K24/J24-1</f>
        <v>-2.5338537339650302E-2</v>
      </c>
      <c r="N24" s="84">
        <f t="shared" si="6"/>
        <v>1.7054052198491654E-2</v>
      </c>
      <c r="Q24" s="60"/>
    </row>
    <row r="25" spans="1:17">
      <c r="A25" s="60"/>
      <c r="B25" s="171"/>
      <c r="C25" s="92"/>
      <c r="D25" s="124"/>
      <c r="E25" s="194"/>
      <c r="F25" s="93"/>
      <c r="G25" s="94"/>
      <c r="I25" s="171"/>
      <c r="J25" s="92"/>
      <c r="K25" s="124"/>
      <c r="L25" s="194"/>
      <c r="M25" s="95"/>
      <c r="N25" s="93"/>
      <c r="Q25" s="60"/>
    </row>
    <row r="26" spans="1:17">
      <c r="A26" s="60"/>
      <c r="B26" s="160" t="s">
        <v>110</v>
      </c>
      <c r="C26" s="158">
        <v>15188.99434462</v>
      </c>
      <c r="D26" s="157">
        <v>17795.964621359999</v>
      </c>
      <c r="E26" s="158">
        <f t="shared" ref="E26" si="7">SUM(E27:E28)</f>
        <v>17601.528414749999</v>
      </c>
      <c r="F26" s="96">
        <f t="shared" si="0"/>
        <v>0.17163547616063202</v>
      </c>
      <c r="G26" s="97">
        <f>E26/D26-1</f>
        <v>-1.0925859358959622E-2</v>
      </c>
      <c r="I26" s="160" t="s">
        <v>110</v>
      </c>
      <c r="J26" s="158">
        <v>169214.58962420002</v>
      </c>
      <c r="K26" s="157">
        <v>187398.19174947997</v>
      </c>
      <c r="L26" s="158">
        <f>SUM(L27:L28)</f>
        <v>198214.05706690002</v>
      </c>
      <c r="M26" s="97">
        <f t="shared" ref="M26:M28" si="8">K26/J26-1</f>
        <v>0.10745883180441473</v>
      </c>
      <c r="N26" s="97">
        <f>L26/K26-1</f>
        <v>5.7715953480912185E-2</v>
      </c>
      <c r="Q26" s="60"/>
    </row>
    <row r="27" spans="1:17">
      <c r="A27" s="60"/>
      <c r="B27" s="155" t="s">
        <v>111</v>
      </c>
      <c r="C27" s="82">
        <v>12552.31119567</v>
      </c>
      <c r="D27" s="91">
        <v>14840.847766219998</v>
      </c>
      <c r="E27" s="193">
        <v>14513.05101456</v>
      </c>
      <c r="F27" s="83">
        <f t="shared" si="0"/>
        <v>0.18231993573736793</v>
      </c>
      <c r="G27" s="84">
        <f>E27/D27-1</f>
        <v>-2.2087468103143881E-2</v>
      </c>
      <c r="I27" s="155" t="s">
        <v>111</v>
      </c>
      <c r="J27" s="82">
        <v>138487.37571349001</v>
      </c>
      <c r="K27" s="91">
        <v>154076.18025842996</v>
      </c>
      <c r="L27" s="193">
        <v>163522.67424057002</v>
      </c>
      <c r="M27" s="84">
        <f t="shared" si="8"/>
        <v>0.11256480574222794</v>
      </c>
      <c r="N27" s="84">
        <f t="shared" si="6"/>
        <v>6.13105410991861E-2</v>
      </c>
      <c r="Q27" s="60"/>
    </row>
    <row r="28" spans="1:17">
      <c r="A28" s="60"/>
      <c r="B28" s="155" t="s">
        <v>112</v>
      </c>
      <c r="C28" s="82">
        <v>2636.68314895</v>
      </c>
      <c r="D28" s="91">
        <v>2955.1168551399996</v>
      </c>
      <c r="E28" s="193">
        <v>3088.47740019</v>
      </c>
      <c r="F28" s="83">
        <f t="shared" si="0"/>
        <v>0.12077056218029414</v>
      </c>
      <c r="G28" s="84">
        <f>E28/D28-1</f>
        <v>4.5128687489308206E-2</v>
      </c>
      <c r="I28" s="155" t="s">
        <v>112</v>
      </c>
      <c r="J28" s="82">
        <v>30727.213910710001</v>
      </c>
      <c r="K28" s="91">
        <v>33322.011491049998</v>
      </c>
      <c r="L28" s="193">
        <v>34691.382826329995</v>
      </c>
      <c r="M28" s="84">
        <f t="shared" si="8"/>
        <v>8.4446236742458991E-2</v>
      </c>
      <c r="N28" s="84">
        <f t="shared" si="6"/>
        <v>4.1095098225021554E-2</v>
      </c>
      <c r="Q28" s="60"/>
    </row>
    <row r="29" spans="1:17">
      <c r="A29" s="60"/>
      <c r="B29" s="155"/>
      <c r="C29" s="167"/>
      <c r="D29" s="166"/>
      <c r="E29" s="167"/>
      <c r="F29" s="83"/>
      <c r="G29" s="84"/>
      <c r="I29" s="155"/>
      <c r="J29" s="167"/>
      <c r="K29" s="166"/>
      <c r="L29" s="167"/>
      <c r="M29" s="84"/>
      <c r="N29" s="84"/>
      <c r="Q29" s="60"/>
    </row>
    <row r="30" spans="1:17">
      <c r="A30" s="60"/>
      <c r="B30" s="168" t="s">
        <v>113</v>
      </c>
      <c r="C30" s="169">
        <v>409.09178485999996</v>
      </c>
      <c r="D30" s="170">
        <v>376.60117502999998</v>
      </c>
      <c r="E30" s="169">
        <f>SUM(E31:E33)</f>
        <v>358.86294892000001</v>
      </c>
      <c r="F30" s="87">
        <f t="shared" si="0"/>
        <v>-7.9421320672863116E-2</v>
      </c>
      <c r="G30" s="88">
        <f>E30/D30-1</f>
        <v>-4.7100825186185191E-2</v>
      </c>
      <c r="I30" s="168" t="s">
        <v>113</v>
      </c>
      <c r="J30" s="169">
        <v>5397.7201315700004</v>
      </c>
      <c r="K30" s="170">
        <v>5083.7449233699999</v>
      </c>
      <c r="L30" s="169">
        <f>SUM(L31:L33)</f>
        <v>4660.4879270100009</v>
      </c>
      <c r="M30" s="89">
        <f t="shared" ref="M30:N37" si="9">K30/J30-1</f>
        <v>-5.816811552781942E-2</v>
      </c>
      <c r="N30" s="87">
        <f t="shared" si="9"/>
        <v>-8.3256930223679082E-2</v>
      </c>
      <c r="Q30" s="60"/>
    </row>
    <row r="31" spans="1:17">
      <c r="A31" s="60"/>
      <c r="B31" s="155" t="s">
        <v>114</v>
      </c>
      <c r="C31" s="82">
        <v>16.048254</v>
      </c>
      <c r="D31" s="91">
        <v>14.547921000000001</v>
      </c>
      <c r="E31" s="193">
        <v>12.96936</v>
      </c>
      <c r="F31" s="84">
        <f t="shared" si="0"/>
        <v>-9.3488861778982302E-2</v>
      </c>
      <c r="G31" s="90">
        <f>E31/D31-1</f>
        <v>-0.10850766924016153</v>
      </c>
      <c r="I31" s="155" t="s">
        <v>114</v>
      </c>
      <c r="J31" s="82">
        <v>197.95642649999996</v>
      </c>
      <c r="K31" s="91">
        <v>191.6421345</v>
      </c>
      <c r="L31" s="193">
        <v>169.89010499999998</v>
      </c>
      <c r="M31" s="58">
        <f t="shared" si="9"/>
        <v>-3.1897383235496846E-2</v>
      </c>
      <c r="N31" s="84">
        <f t="shared" si="9"/>
        <v>-0.11350337730662263</v>
      </c>
      <c r="Q31" s="60"/>
    </row>
    <row r="32" spans="1:17">
      <c r="A32" s="60"/>
      <c r="B32" s="155" t="s">
        <v>115</v>
      </c>
      <c r="C32" s="82">
        <v>274.88551186000001</v>
      </c>
      <c r="D32" s="91">
        <v>242.30519477999999</v>
      </c>
      <c r="E32" s="193">
        <v>210.81503441999999</v>
      </c>
      <c r="F32" s="84">
        <f t="shared" si="0"/>
        <v>-0.11852322393983883</v>
      </c>
      <c r="G32" s="90">
        <f>E32/D32-1</f>
        <v>-0.12996073150058285</v>
      </c>
      <c r="I32" s="155" t="s">
        <v>115</v>
      </c>
      <c r="J32" s="82">
        <v>3492.4676973200003</v>
      </c>
      <c r="K32" s="91">
        <v>3235.2886883700003</v>
      </c>
      <c r="L32" s="193">
        <v>2799.9983607600002</v>
      </c>
      <c r="M32" s="58">
        <f t="shared" si="9"/>
        <v>-7.3638192601566566E-2</v>
      </c>
      <c r="N32" s="84">
        <f t="shared" si="9"/>
        <v>-0.13454450886400116</v>
      </c>
      <c r="Q32" s="60"/>
    </row>
    <row r="33" spans="1:17">
      <c r="A33" s="60"/>
      <c r="B33" s="172" t="s">
        <v>116</v>
      </c>
      <c r="C33" s="82">
        <v>118.158019</v>
      </c>
      <c r="D33" s="91">
        <v>119.74805925</v>
      </c>
      <c r="E33" s="193">
        <v>135.0785545</v>
      </c>
      <c r="F33" s="84">
        <f t="shared" si="0"/>
        <v>1.3456896649562067E-2</v>
      </c>
      <c r="G33" s="90">
        <f t="shared" si="0"/>
        <v>0.12802291198719362</v>
      </c>
      <c r="I33" s="172" t="s">
        <v>116</v>
      </c>
      <c r="J33" s="82">
        <v>1707.2960077499999</v>
      </c>
      <c r="K33" s="91">
        <v>1656.8141005</v>
      </c>
      <c r="L33" s="193">
        <v>1690.5994612500003</v>
      </c>
      <c r="M33" s="58">
        <f t="shared" si="9"/>
        <v>-2.9568339069994454E-2</v>
      </c>
      <c r="N33" s="84">
        <f t="shared" si="9"/>
        <v>2.0391763167517896E-2</v>
      </c>
      <c r="Q33" s="60"/>
    </row>
    <row r="34" spans="1:17">
      <c r="A34" s="60"/>
      <c r="B34" s="173"/>
      <c r="C34" s="92"/>
      <c r="D34" s="124"/>
      <c r="E34" s="194"/>
      <c r="F34" s="93"/>
      <c r="G34" s="94"/>
      <c r="I34" s="173"/>
      <c r="J34" s="92"/>
      <c r="K34" s="124"/>
      <c r="L34" s="194"/>
      <c r="M34" s="95"/>
      <c r="N34" s="93"/>
      <c r="Q34" s="60"/>
    </row>
    <row r="35" spans="1:17">
      <c r="A35" s="60"/>
      <c r="B35" s="160" t="s">
        <v>117</v>
      </c>
      <c r="C35" s="158">
        <v>199049.07147271</v>
      </c>
      <c r="D35" s="157">
        <v>218590.19042826002</v>
      </c>
      <c r="E35" s="157">
        <f t="shared" ref="E35" si="10">SUM(E36:E37)</f>
        <v>205792.89782990998</v>
      </c>
      <c r="F35" s="57">
        <f t="shared" si="0"/>
        <v>9.8172369310595586E-2</v>
      </c>
      <c r="G35" s="97">
        <f>E35/D35-1</f>
        <v>-5.8544679307327097E-2</v>
      </c>
      <c r="I35" s="160" t="s">
        <v>117</v>
      </c>
      <c r="J35" s="158">
        <v>2285858.30580363</v>
      </c>
      <c r="K35" s="157">
        <v>2419493.0401066095</v>
      </c>
      <c r="L35" s="157">
        <f>SUM(L36:L37)</f>
        <v>2407217.0660965098</v>
      </c>
      <c r="M35" s="97">
        <f t="shared" ref="M35:M37" si="11">K35/J35-1</f>
        <v>5.8461512668432025E-2</v>
      </c>
      <c r="N35" s="97">
        <f t="shared" si="9"/>
        <v>-5.0737794267673442E-3</v>
      </c>
      <c r="Q35" s="60"/>
    </row>
    <row r="36" spans="1:17">
      <c r="A36" s="60"/>
      <c r="B36" s="155" t="s">
        <v>118</v>
      </c>
      <c r="C36" s="82">
        <v>130578.73110669</v>
      </c>
      <c r="D36" s="91">
        <v>143319.10823351002</v>
      </c>
      <c r="E36" s="195">
        <v>129128.10497823</v>
      </c>
      <c r="F36" s="58">
        <f t="shared" si="0"/>
        <v>9.7568547487342672E-2</v>
      </c>
      <c r="G36" s="84">
        <f>E36/D36-1</f>
        <v>-9.9016826368739319E-2</v>
      </c>
      <c r="I36" s="155" t="s">
        <v>118</v>
      </c>
      <c r="J36" s="82">
        <v>1429710.0280299499</v>
      </c>
      <c r="K36" s="91">
        <v>1509890.8192241199</v>
      </c>
      <c r="L36" s="195">
        <v>1472538.7483339203</v>
      </c>
      <c r="M36" s="84">
        <f t="shared" si="11"/>
        <v>5.6081855496707966E-2</v>
      </c>
      <c r="N36" s="84">
        <f t="shared" si="9"/>
        <v>-2.473825949176478E-2</v>
      </c>
      <c r="Q36" s="60"/>
    </row>
    <row r="37" spans="1:17">
      <c r="A37" s="60"/>
      <c r="B37" s="155" t="s">
        <v>119</v>
      </c>
      <c r="C37" s="82">
        <v>68470.340366019998</v>
      </c>
      <c r="D37" s="91">
        <v>75271.082194749994</v>
      </c>
      <c r="E37" s="195">
        <v>76664.792851679988</v>
      </c>
      <c r="F37" s="58">
        <f t="shared" si="0"/>
        <v>9.9323908605908118E-2</v>
      </c>
      <c r="G37" s="84">
        <f>E37/D37-1</f>
        <v>1.8515884404638028E-2</v>
      </c>
      <c r="I37" s="155" t="s">
        <v>119</v>
      </c>
      <c r="J37" s="82">
        <v>856148.27777368005</v>
      </c>
      <c r="K37" s="91">
        <v>909602.22088248981</v>
      </c>
      <c r="L37" s="195">
        <v>934678.31776258978</v>
      </c>
      <c r="M37" s="84">
        <f t="shared" si="11"/>
        <v>6.2435380058009304E-2</v>
      </c>
      <c r="N37" s="84">
        <f t="shared" si="9"/>
        <v>2.7568201027226236E-2</v>
      </c>
      <c r="Q37" s="60"/>
    </row>
    <row r="38" spans="1:17">
      <c r="A38" s="60"/>
      <c r="B38" s="174" t="s">
        <v>71</v>
      </c>
      <c r="C38" s="175"/>
      <c r="D38" s="176"/>
      <c r="E38" s="195"/>
      <c r="F38" s="58"/>
      <c r="G38" s="93"/>
      <c r="I38" s="174" t="s">
        <v>71</v>
      </c>
      <c r="J38" s="175"/>
      <c r="K38" s="176"/>
      <c r="L38" s="176"/>
      <c r="M38" s="84"/>
      <c r="N38" s="84"/>
      <c r="Q38" s="60"/>
    </row>
    <row r="39" spans="1:17">
      <c r="A39" s="60"/>
      <c r="B39" s="168" t="s">
        <v>120</v>
      </c>
      <c r="C39" s="169">
        <v>23069.626744380002</v>
      </c>
      <c r="D39" s="170">
        <v>23563.112503299999</v>
      </c>
      <c r="E39" s="170">
        <f t="shared" ref="E39" si="12">SUM(E40:E41)</f>
        <v>22118.053711029999</v>
      </c>
      <c r="F39" s="98">
        <f t="shared" si="0"/>
        <v>2.139114621957261E-2</v>
      </c>
      <c r="G39" s="87">
        <f>E39/D39-1</f>
        <v>-6.1327160920172208E-2</v>
      </c>
      <c r="I39" s="168" t="s">
        <v>120</v>
      </c>
      <c r="J39" s="169">
        <v>274394.55605537002</v>
      </c>
      <c r="K39" s="170">
        <v>321206.05002771999</v>
      </c>
      <c r="L39" s="170">
        <f>SUM(L40:L41)</f>
        <v>294888.40620036999</v>
      </c>
      <c r="M39" s="87">
        <f t="shared" ref="M39:M41" si="13">K39/J39-1</f>
        <v>0.17059920810857454</v>
      </c>
      <c r="N39" s="87">
        <f>L39/K39-1</f>
        <v>-8.1933836006758853E-2</v>
      </c>
      <c r="Q39" s="60"/>
    </row>
    <row r="40" spans="1:17">
      <c r="A40" s="60"/>
      <c r="B40" s="155" t="s">
        <v>121</v>
      </c>
      <c r="C40" s="82">
        <v>1059.6232029299999</v>
      </c>
      <c r="D40" s="91">
        <v>986.382655</v>
      </c>
      <c r="E40" s="195">
        <v>805.12771799999996</v>
      </c>
      <c r="F40" s="83">
        <f t="shared" si="0"/>
        <v>-6.9119426346535229E-2</v>
      </c>
      <c r="G40" s="84">
        <f>E40/D40-1</f>
        <v>-0.18375722249495563</v>
      </c>
      <c r="I40" s="155" t="s">
        <v>121</v>
      </c>
      <c r="J40" s="82">
        <v>11406.569077929998</v>
      </c>
      <c r="K40" s="91">
        <v>12131.559131</v>
      </c>
      <c r="L40" s="195">
        <v>10474.334687999999</v>
      </c>
      <c r="M40" s="84">
        <f t="shared" si="13"/>
        <v>6.3558993779535999E-2</v>
      </c>
      <c r="N40" s="84">
        <f>L40/K40-1</f>
        <v>-0.13660440715862021</v>
      </c>
      <c r="Q40" s="60"/>
    </row>
    <row r="41" spans="1:17">
      <c r="A41" s="60"/>
      <c r="B41" s="155" t="s">
        <v>122</v>
      </c>
      <c r="C41" s="82">
        <v>22010.003541450002</v>
      </c>
      <c r="D41" s="91">
        <v>22576.729848299998</v>
      </c>
      <c r="E41" s="195">
        <v>21312.92599303</v>
      </c>
      <c r="F41" s="83">
        <f t="shared" si="0"/>
        <v>2.5748578630744756E-2</v>
      </c>
      <c r="G41" s="84">
        <f>E41/D41-1</f>
        <v>-5.5978162637453921E-2</v>
      </c>
      <c r="I41" s="155" t="s">
        <v>122</v>
      </c>
      <c r="J41" s="82">
        <v>262987.98697744001</v>
      </c>
      <c r="K41" s="91">
        <v>309074.49089671997</v>
      </c>
      <c r="L41" s="195">
        <v>284414.07151237002</v>
      </c>
      <c r="M41" s="84">
        <f t="shared" si="13"/>
        <v>0.1752418597098635</v>
      </c>
      <c r="N41" s="84">
        <f>L41/K41-1</f>
        <v>-7.9787947924147673E-2</v>
      </c>
      <c r="Q41" s="60"/>
    </row>
    <row r="42" spans="1:17">
      <c r="A42" s="60"/>
      <c r="B42" s="177" t="s">
        <v>71</v>
      </c>
      <c r="C42" s="175"/>
      <c r="D42" s="176"/>
      <c r="E42" s="195"/>
      <c r="F42" s="99"/>
      <c r="G42" s="93"/>
      <c r="I42" s="177" t="s">
        <v>71</v>
      </c>
      <c r="J42" s="175"/>
      <c r="K42" s="176"/>
      <c r="L42" s="176"/>
      <c r="M42" s="93"/>
      <c r="N42" s="93"/>
      <c r="Q42" s="60"/>
    </row>
    <row r="43" spans="1:17">
      <c r="A43" s="60"/>
      <c r="B43" s="168" t="s">
        <v>123</v>
      </c>
      <c r="C43" s="169">
        <v>81571.404365429989</v>
      </c>
      <c r="D43" s="170">
        <v>79626.810904429993</v>
      </c>
      <c r="E43" s="170">
        <f>SUM(E44:E57)-E45-E46</f>
        <v>81696.837312949967</v>
      </c>
      <c r="F43" s="57">
        <f t="shared" si="0"/>
        <v>-2.3839156333369638E-2</v>
      </c>
      <c r="G43" s="97">
        <f>E43/D43-1</f>
        <v>2.5996600705313622E-2</v>
      </c>
      <c r="I43" s="168" t="s">
        <v>123</v>
      </c>
      <c r="J43" s="169">
        <v>968435.20817837038</v>
      </c>
      <c r="K43" s="170">
        <v>1021805.7287135097</v>
      </c>
      <c r="L43" s="170">
        <f>SUM(L44:L57)-L45-L46</f>
        <v>1004870.7777457798</v>
      </c>
      <c r="M43" s="87">
        <f t="shared" ref="M43:M59" si="14">K43/J43-1</f>
        <v>5.5110058044594901E-2</v>
      </c>
      <c r="N43" s="88">
        <f>L43/K43-1</f>
        <v>-1.6573552576429229E-2</v>
      </c>
      <c r="Q43" s="60"/>
    </row>
    <row r="44" spans="1:17">
      <c r="A44" s="60"/>
      <c r="B44" s="155" t="s">
        <v>124</v>
      </c>
      <c r="C44" s="82">
        <v>46420.299807309995</v>
      </c>
      <c r="D44" s="91">
        <v>42960.999969879995</v>
      </c>
      <c r="E44" s="195">
        <v>44535.665827239995</v>
      </c>
      <c r="F44" s="58">
        <f>D44/C44-1</f>
        <v>-7.4521273059189763E-2</v>
      </c>
      <c r="G44" s="84">
        <f>E44/D44-1</f>
        <v>3.665338000661067E-2</v>
      </c>
      <c r="I44" s="155" t="s">
        <v>124</v>
      </c>
      <c r="J44" s="82">
        <v>576174.90067112993</v>
      </c>
      <c r="K44" s="91">
        <v>619877.91346913995</v>
      </c>
      <c r="L44" s="193">
        <v>616706.01080882002</v>
      </c>
      <c r="M44" s="84">
        <f>K44/J44-1</f>
        <v>7.5850254405571471E-2</v>
      </c>
      <c r="N44" s="90">
        <f>L44/K44-1</f>
        <v>-5.1169796364712861E-3</v>
      </c>
      <c r="Q44" s="60"/>
    </row>
    <row r="45" spans="1:17">
      <c r="A45" s="60"/>
      <c r="B45" s="155" t="s">
        <v>125</v>
      </c>
      <c r="C45" s="82">
        <v>24637.406415000001</v>
      </c>
      <c r="D45" s="91">
        <v>29766.758019000001</v>
      </c>
      <c r="E45" s="195">
        <v>26370.125721</v>
      </c>
      <c r="F45" s="58">
        <f t="shared" ref="F45:G59" si="15">D45/C45-1</f>
        <v>0.20819365145825963</v>
      </c>
      <c r="G45" s="84">
        <f t="shared" si="15"/>
        <v>-0.11410823764657019</v>
      </c>
      <c r="I45" s="155" t="s">
        <v>125</v>
      </c>
      <c r="J45" s="82">
        <v>345283.36646200001</v>
      </c>
      <c r="K45" s="91">
        <v>374654.036945</v>
      </c>
      <c r="L45" s="193">
        <v>382339.90725599998</v>
      </c>
      <c r="M45" s="84">
        <f t="shared" ref="M45:N56" si="16">K45/J45-1</f>
        <v>8.5062511941861541E-2</v>
      </c>
      <c r="N45" s="90">
        <f t="shared" si="16"/>
        <v>2.0514580260957649E-2</v>
      </c>
      <c r="Q45" s="60"/>
    </row>
    <row r="46" spans="1:17">
      <c r="A46" s="60"/>
      <c r="B46" s="155" t="s">
        <v>126</v>
      </c>
      <c r="C46" s="82">
        <v>21782.893392310001</v>
      </c>
      <c r="D46" s="91">
        <v>13194.241950879999</v>
      </c>
      <c r="E46" s="195">
        <v>18165.540106240001</v>
      </c>
      <c r="F46" s="58">
        <f t="shared" si="15"/>
        <v>-0.39428423427266313</v>
      </c>
      <c r="G46" s="84">
        <f t="shared" si="15"/>
        <v>0.37677785308677314</v>
      </c>
      <c r="I46" s="155" t="s">
        <v>126</v>
      </c>
      <c r="J46" s="82">
        <v>230891.53420912998</v>
      </c>
      <c r="K46" s="91">
        <v>245223.87652413998</v>
      </c>
      <c r="L46" s="193">
        <v>234366.10355281999</v>
      </c>
      <c r="M46" s="84">
        <f t="shared" si="16"/>
        <v>6.2073918665326522E-2</v>
      </c>
      <c r="N46" s="90">
        <f t="shared" si="16"/>
        <v>-4.427698120273027E-2</v>
      </c>
      <c r="Q46" s="60"/>
    </row>
    <row r="47" spans="1:17">
      <c r="A47" s="60"/>
      <c r="B47" s="155" t="s">
        <v>127</v>
      </c>
      <c r="C47" s="82">
        <v>4853.18372989</v>
      </c>
      <c r="D47" s="91">
        <v>4657.7142133900006</v>
      </c>
      <c r="E47" s="195">
        <v>5012.5672063299999</v>
      </c>
      <c r="F47" s="58">
        <f t="shared" si="0"/>
        <v>-4.0276553985816199E-2</v>
      </c>
      <c r="G47" s="84">
        <f t="shared" si="15"/>
        <v>7.6186081129638206E-2</v>
      </c>
      <c r="I47" s="155" t="s">
        <v>127</v>
      </c>
      <c r="J47" s="82">
        <v>57398.990854529991</v>
      </c>
      <c r="K47" s="91">
        <v>60715.257987640005</v>
      </c>
      <c r="L47" s="193">
        <v>60469.226157229998</v>
      </c>
      <c r="M47" s="84">
        <f>K47/J47-1</f>
        <v>5.7775704480844459E-2</v>
      </c>
      <c r="N47" s="90">
        <f t="shared" si="16"/>
        <v>-4.052224079490796E-3</v>
      </c>
      <c r="Q47" s="60"/>
    </row>
    <row r="48" spans="1:17">
      <c r="A48" s="60"/>
      <c r="B48" s="155" t="s">
        <v>128</v>
      </c>
      <c r="C48" s="82">
        <v>260.05578087999999</v>
      </c>
      <c r="D48" s="91">
        <v>222.61421206</v>
      </c>
      <c r="E48" s="195">
        <v>211.95006334999999</v>
      </c>
      <c r="F48" s="58">
        <f t="shared" si="0"/>
        <v>-0.14397514522961907</v>
      </c>
      <c r="G48" s="84">
        <f t="shared" si="15"/>
        <v>-4.7904168432542638E-2</v>
      </c>
      <c r="I48" s="155" t="s">
        <v>128</v>
      </c>
      <c r="J48" s="82">
        <v>3259.7849467800002</v>
      </c>
      <c r="K48" s="91">
        <v>2693.38008137</v>
      </c>
      <c r="L48" s="193">
        <v>2592.9949045000008</v>
      </c>
      <c r="M48" s="84">
        <f t="shared" si="14"/>
        <v>-0.17375528590298328</v>
      </c>
      <c r="N48" s="90">
        <f>L48/K48-1</f>
        <v>-3.7271077173384959E-2</v>
      </c>
      <c r="Q48" s="60"/>
    </row>
    <row r="49" spans="1:23">
      <c r="A49" s="60"/>
      <c r="B49" s="155" t="s">
        <v>129</v>
      </c>
      <c r="C49" s="82">
        <v>5822.1174199699999</v>
      </c>
      <c r="D49" s="91">
        <v>5428.5839149200001</v>
      </c>
      <c r="E49" s="195">
        <v>5231.0836643900002</v>
      </c>
      <c r="F49" s="58">
        <f t="shared" si="0"/>
        <v>-6.7592849244189179E-2</v>
      </c>
      <c r="G49" s="84">
        <f t="shared" si="15"/>
        <v>-3.6381541415835383E-2</v>
      </c>
      <c r="I49" s="155" t="s">
        <v>129</v>
      </c>
      <c r="J49" s="82">
        <v>56477.554089099998</v>
      </c>
      <c r="K49" s="91">
        <v>57690.792198549985</v>
      </c>
      <c r="L49" s="193">
        <v>57068.364517869995</v>
      </c>
      <c r="M49" s="84">
        <f t="shared" si="14"/>
        <v>2.1481774999249525E-2</v>
      </c>
      <c r="N49" s="90">
        <f t="shared" si="16"/>
        <v>-1.078902987738195E-2</v>
      </c>
      <c r="Q49" s="60"/>
    </row>
    <row r="50" spans="1:23">
      <c r="A50" s="60"/>
      <c r="B50" s="155" t="s">
        <v>130</v>
      </c>
      <c r="C50" s="82">
        <v>2335.2978862199998</v>
      </c>
      <c r="D50" s="91">
        <v>2017.5098576300002</v>
      </c>
      <c r="E50" s="195">
        <v>1252.5498554999999</v>
      </c>
      <c r="F50" s="58">
        <f>D50/C50-1</f>
        <v>-0.13608029642179109</v>
      </c>
      <c r="G50" s="84">
        <f t="shared" si="15"/>
        <v>-0.37916047807003561</v>
      </c>
      <c r="I50" s="155" t="s">
        <v>130</v>
      </c>
      <c r="J50" s="82">
        <v>27355.133407100002</v>
      </c>
      <c r="K50" s="91">
        <v>25747.329306920001</v>
      </c>
      <c r="L50" s="193">
        <v>21572.719678140002</v>
      </c>
      <c r="M50" s="84">
        <f t="shared" si="14"/>
        <v>-5.877522424228776E-2</v>
      </c>
      <c r="N50" s="90">
        <f t="shared" si="16"/>
        <v>-0.16213757858210198</v>
      </c>
      <c r="Q50" s="60"/>
    </row>
    <row r="51" spans="1:23">
      <c r="A51" s="60"/>
      <c r="B51" s="155" t="s">
        <v>131</v>
      </c>
      <c r="C51" s="82">
        <v>2122.7860649999998</v>
      </c>
      <c r="D51" s="91">
        <v>2244.2107900000001</v>
      </c>
      <c r="E51" s="195">
        <v>2286.1383940000001</v>
      </c>
      <c r="F51" s="58">
        <f t="shared" si="0"/>
        <v>5.7200641648267325E-2</v>
      </c>
      <c r="G51" s="84">
        <f t="shared" si="15"/>
        <v>1.868256056286044E-2</v>
      </c>
      <c r="I51" s="155" t="s">
        <v>131</v>
      </c>
      <c r="J51" s="82">
        <v>29487.468214999997</v>
      </c>
      <c r="K51" s="91">
        <v>30783.096387380006</v>
      </c>
      <c r="L51" s="193">
        <v>30604.498779329999</v>
      </c>
      <c r="M51" s="84">
        <f t="shared" si="14"/>
        <v>4.3938264313954756E-2</v>
      </c>
      <c r="N51" s="90">
        <f t="shared" si="16"/>
        <v>-5.801807777960466E-3</v>
      </c>
      <c r="Q51" s="60"/>
    </row>
    <row r="52" spans="1:23">
      <c r="A52" s="60"/>
      <c r="B52" s="155" t="s">
        <v>132</v>
      </c>
      <c r="C52" s="82">
        <v>4663.9162130000004</v>
      </c>
      <c r="D52" s="91">
        <v>5161.9524689999998</v>
      </c>
      <c r="E52" s="195">
        <v>5392.9064060000001</v>
      </c>
      <c r="F52" s="58">
        <f t="shared" si="0"/>
        <v>0.10678499210851911</v>
      </c>
      <c r="G52" s="84">
        <f t="shared" si="15"/>
        <v>4.4741585356895319E-2</v>
      </c>
      <c r="I52" s="155" t="s">
        <v>132</v>
      </c>
      <c r="J52" s="82">
        <v>59969.864397810001</v>
      </c>
      <c r="K52" s="91">
        <v>64224.475615000003</v>
      </c>
      <c r="L52" s="193">
        <v>62645.499647440003</v>
      </c>
      <c r="M52" s="84">
        <f t="shared" si="14"/>
        <v>7.0945820203411669E-2</v>
      </c>
      <c r="N52" s="90">
        <f t="shared" si="16"/>
        <v>-2.4585268348866429E-2</v>
      </c>
      <c r="Q52" s="60"/>
    </row>
    <row r="53" spans="1:23">
      <c r="A53" s="60"/>
      <c r="B53" s="155" t="s">
        <v>133</v>
      </c>
      <c r="C53" s="82">
        <v>862.36498028999995</v>
      </c>
      <c r="D53" s="91">
        <v>727.88514484000007</v>
      </c>
      <c r="E53" s="195">
        <v>-152.7207406</v>
      </c>
      <c r="F53" s="58">
        <f t="shared" si="0"/>
        <v>-0.15594306183998385</v>
      </c>
      <c r="G53" s="84">
        <f t="shared" si="15"/>
        <v>-1.2098143390927016</v>
      </c>
      <c r="I53" s="155" t="s">
        <v>133</v>
      </c>
      <c r="J53" s="82">
        <v>8890.0006365199988</v>
      </c>
      <c r="K53" s="91">
        <v>8568.9838350600003</v>
      </c>
      <c r="L53" s="193">
        <v>1756.5264330100001</v>
      </c>
      <c r="M53" s="84">
        <f t="shared" si="14"/>
        <v>-3.6109873844245355E-2</v>
      </c>
      <c r="N53" s="90">
        <f t="shared" si="16"/>
        <v>-0.79501345004022861</v>
      </c>
      <c r="Q53" s="60"/>
    </row>
    <row r="54" spans="1:23">
      <c r="A54" s="60"/>
      <c r="B54" s="155" t="s">
        <v>134</v>
      </c>
      <c r="C54" s="82">
        <v>4943.6012027400002</v>
      </c>
      <c r="D54" s="91">
        <v>5259.9238996000004</v>
      </c>
      <c r="E54" s="195">
        <v>6269.7917610699997</v>
      </c>
      <c r="F54" s="58">
        <f t="shared" si="0"/>
        <v>6.3986289323798573E-2</v>
      </c>
      <c r="G54" s="84">
        <f t="shared" si="15"/>
        <v>0.19199286543799543</v>
      </c>
      <c r="I54" s="155" t="s">
        <v>134</v>
      </c>
      <c r="J54" s="82">
        <v>55438.176727930004</v>
      </c>
      <c r="K54" s="91">
        <v>58352.91965484</v>
      </c>
      <c r="L54" s="193">
        <v>59265.040153570008</v>
      </c>
      <c r="M54" s="84">
        <f t="shared" si="14"/>
        <v>5.2576457216738426E-2</v>
      </c>
      <c r="N54" s="90">
        <f t="shared" si="16"/>
        <v>1.5631103021498172E-2</v>
      </c>
      <c r="Q54" s="60"/>
    </row>
    <row r="55" spans="1:23">
      <c r="A55" s="60"/>
      <c r="B55" s="155" t="s">
        <v>135</v>
      </c>
      <c r="C55" s="82">
        <v>146.40650071000002</v>
      </c>
      <c r="D55" s="91">
        <v>460.42974613999996</v>
      </c>
      <c r="E55" s="195">
        <v>1065.5784413399999</v>
      </c>
      <c r="F55" s="58">
        <f t="shared" si="0"/>
        <v>2.1448722830416722</v>
      </c>
      <c r="G55" s="84">
        <f t="shared" si="15"/>
        <v>1.3143127703482396</v>
      </c>
      <c r="I55" s="155" t="s">
        <v>135</v>
      </c>
      <c r="J55" s="82">
        <v>1915.9549650200001</v>
      </c>
      <c r="K55" s="91">
        <v>1468.1877110999999</v>
      </c>
      <c r="L55" s="193">
        <v>1412.8439477100001</v>
      </c>
      <c r="M55" s="84">
        <f t="shared" si="14"/>
        <v>-0.23370447745118383</v>
      </c>
      <c r="N55" s="90">
        <f t="shared" si="16"/>
        <v>-3.7695291257093366E-2</v>
      </c>
      <c r="Q55" s="60"/>
    </row>
    <row r="56" spans="1:23">
      <c r="A56" s="60"/>
      <c r="B56" s="155" t="s">
        <v>136</v>
      </c>
      <c r="C56" s="82">
        <v>2351.6261291199999</v>
      </c>
      <c r="D56" s="91">
        <v>4189.9543959900002</v>
      </c>
      <c r="E56" s="195">
        <v>4860.5210722399997</v>
      </c>
      <c r="F56" s="58">
        <f t="shared" si="0"/>
        <v>0.78172641650223529</v>
      </c>
      <c r="G56" s="84">
        <f t="shared" si="15"/>
        <v>0.1600415214284352</v>
      </c>
      <c r="I56" s="155" t="s">
        <v>136</v>
      </c>
      <c r="J56" s="82">
        <v>29767.432204370001</v>
      </c>
      <c r="K56" s="91">
        <v>24975.124728159997</v>
      </c>
      <c r="L56" s="193">
        <v>22288.357528850003</v>
      </c>
      <c r="M56" s="84">
        <f t="shared" si="14"/>
        <v>-0.16099163150211093</v>
      </c>
      <c r="N56" s="90">
        <f t="shared" si="16"/>
        <v>-0.10757772898249451</v>
      </c>
      <c r="Q56" s="60"/>
    </row>
    <row r="57" spans="1:23">
      <c r="A57" s="60"/>
      <c r="B57" s="155" t="s">
        <v>137</v>
      </c>
      <c r="C57" s="82">
        <v>6789.7486502999991</v>
      </c>
      <c r="D57" s="91">
        <v>6295.0322909800007</v>
      </c>
      <c r="E57" s="195">
        <v>5730.8053620900009</v>
      </c>
      <c r="F57" s="58">
        <f t="shared" si="0"/>
        <v>-7.2862249370326815E-2</v>
      </c>
      <c r="G57" s="84">
        <f t="shared" si="15"/>
        <v>-8.9630505898828594E-2</v>
      </c>
      <c r="I57" s="155" t="s">
        <v>137</v>
      </c>
      <c r="J57" s="82">
        <v>62299.947063079991</v>
      </c>
      <c r="K57" s="91">
        <v>66708.267738349983</v>
      </c>
      <c r="L57" s="193">
        <v>68488.695189310005</v>
      </c>
      <c r="M57" s="84">
        <f t="shared" si="14"/>
        <v>7.0759621525945615E-2</v>
      </c>
      <c r="N57" s="90">
        <f>L57/K57-1</f>
        <v>2.6689756927033459E-2</v>
      </c>
      <c r="Q57" s="60"/>
    </row>
    <row r="58" spans="1:23">
      <c r="A58" s="60"/>
      <c r="B58" s="155" t="s">
        <v>138</v>
      </c>
      <c r="C58" s="82">
        <v>0</v>
      </c>
      <c r="D58" s="91">
        <v>0</v>
      </c>
      <c r="E58" s="195">
        <v>0</v>
      </c>
      <c r="F58" s="100" t="e">
        <f t="shared" si="0"/>
        <v>#DIV/0!</v>
      </c>
      <c r="G58" s="162" t="e">
        <f t="shared" si="15"/>
        <v>#DIV/0!</v>
      </c>
      <c r="I58" s="155" t="s">
        <v>138</v>
      </c>
      <c r="J58" s="82">
        <v>0</v>
      </c>
      <c r="K58" s="91">
        <v>0</v>
      </c>
      <c r="L58" s="193">
        <v>0</v>
      </c>
      <c r="M58" s="162" t="e">
        <f t="shared" si="14"/>
        <v>#DIV/0!</v>
      </c>
      <c r="N58" s="189" t="e">
        <f>L58/K58-1</f>
        <v>#DIV/0!</v>
      </c>
    </row>
    <row r="59" spans="1:23">
      <c r="A59" s="60"/>
      <c r="B59" s="155" t="s">
        <v>139</v>
      </c>
      <c r="C59" s="82">
        <v>-1292.47287557</v>
      </c>
      <c r="D59" s="91">
        <v>0</v>
      </c>
      <c r="E59" s="195">
        <v>0</v>
      </c>
      <c r="F59" s="100">
        <f t="shared" si="0"/>
        <v>-1</v>
      </c>
      <c r="G59" s="162" t="e">
        <f t="shared" si="15"/>
        <v>#DIV/0!</v>
      </c>
      <c r="I59" s="155" t="s">
        <v>139</v>
      </c>
      <c r="J59" s="82">
        <v>0</v>
      </c>
      <c r="K59" s="91">
        <v>0</v>
      </c>
      <c r="L59" s="193">
        <v>0</v>
      </c>
      <c r="M59" s="162" t="e">
        <f t="shared" si="14"/>
        <v>#DIV/0!</v>
      </c>
      <c r="N59" s="189" t="e">
        <f>L59/K59-1</f>
        <v>#DIV/0!</v>
      </c>
      <c r="Q59" s="60"/>
    </row>
    <row r="60" spans="1:23">
      <c r="A60" s="60"/>
      <c r="B60" s="171"/>
      <c r="C60" s="178"/>
      <c r="D60" s="179"/>
      <c r="E60" s="179"/>
      <c r="F60" s="95"/>
      <c r="G60" s="93"/>
      <c r="I60" s="171"/>
      <c r="J60" s="180"/>
      <c r="K60" s="181"/>
      <c r="L60" s="180"/>
      <c r="M60" s="93"/>
      <c r="N60" s="94"/>
      <c r="Q60" s="60"/>
    </row>
    <row r="61" spans="1:23">
      <c r="A61" s="60"/>
      <c r="B61" s="182" t="s">
        <v>32</v>
      </c>
      <c r="C61" s="113">
        <v>47547.841788329999</v>
      </c>
      <c r="D61" s="125">
        <v>50579.483535160005</v>
      </c>
      <c r="E61" s="125">
        <v>51717.724128919996</v>
      </c>
      <c r="F61" s="103">
        <f t="shared" si="0"/>
        <v>6.3759818170634253E-2</v>
      </c>
      <c r="G61" s="104">
        <f>E61/D61-1</f>
        <v>2.2503997949460119E-2</v>
      </c>
      <c r="I61" s="182" t="s">
        <v>32</v>
      </c>
      <c r="J61" s="113">
        <v>554243.40071308007</v>
      </c>
      <c r="K61" s="125">
        <v>588916.37456959987</v>
      </c>
      <c r="L61" s="196">
        <v>617089.48885006004</v>
      </c>
      <c r="M61" s="104">
        <f t="shared" ref="M61:M63" si="17">K61/J61-1</f>
        <v>6.2559109972099236E-2</v>
      </c>
      <c r="N61" s="104">
        <f>L61/K61-1</f>
        <v>4.7838904634040835E-2</v>
      </c>
      <c r="Q61" s="60"/>
    </row>
    <row r="62" spans="1:23">
      <c r="A62" s="60"/>
      <c r="B62" s="182" t="s">
        <v>11</v>
      </c>
      <c r="C62" s="114">
        <v>16193.55630224</v>
      </c>
      <c r="D62" s="114">
        <v>15123.851966040002</v>
      </c>
      <c r="E62" s="114">
        <v>31286.534337689998</v>
      </c>
      <c r="F62" s="105">
        <f t="shared" si="0"/>
        <v>-6.6057406800261065E-2</v>
      </c>
      <c r="G62" s="106">
        <f t="shared" si="0"/>
        <v>1.0686882156703628</v>
      </c>
      <c r="I62" s="182" t="s">
        <v>11</v>
      </c>
      <c r="J62" s="114">
        <v>161597.31513256999</v>
      </c>
      <c r="K62" s="128">
        <v>182897.25075795999</v>
      </c>
      <c r="L62" s="197">
        <v>186008.73785473005</v>
      </c>
      <c r="M62" s="106">
        <f t="shared" si="17"/>
        <v>0.13180872224217421</v>
      </c>
      <c r="N62" s="106">
        <f>L62/K62-1</f>
        <v>1.701221360012517E-2</v>
      </c>
      <c r="Q62" s="60"/>
    </row>
    <row r="63" spans="1:23" ht="14.25">
      <c r="A63" s="60"/>
      <c r="B63" s="183" t="s">
        <v>140</v>
      </c>
      <c r="C63" s="115">
        <v>6504.5221764500002</v>
      </c>
      <c r="D63" s="126">
        <v>6105.1856945</v>
      </c>
      <c r="E63" s="126">
        <v>5936.6131855499998</v>
      </c>
      <c r="F63" s="107">
        <f t="shared" si="0"/>
        <v>-6.1393669068547596E-2</v>
      </c>
      <c r="G63" s="108">
        <f t="shared" si="0"/>
        <v>-2.7611364729145382E-2</v>
      </c>
      <c r="I63" s="182" t="s">
        <v>140</v>
      </c>
      <c r="J63" s="115">
        <v>35848.727250750002</v>
      </c>
      <c r="K63" s="126">
        <v>53894.016197179997</v>
      </c>
      <c r="L63" s="198">
        <v>27844.509631320001</v>
      </c>
      <c r="M63" s="108">
        <f t="shared" si="17"/>
        <v>0.50337321099879384</v>
      </c>
      <c r="N63" s="108">
        <f>L63/K63-1</f>
        <v>-0.48334691685536391</v>
      </c>
      <c r="O63" s="117"/>
      <c r="P63" s="117"/>
      <c r="Q63" s="117"/>
      <c r="R63" s="117"/>
      <c r="S63" s="117"/>
      <c r="T63" s="117"/>
      <c r="U63" s="117"/>
      <c r="V63" s="117"/>
      <c r="W63" s="117"/>
    </row>
    <row r="64" spans="1:23">
      <c r="A64" s="60"/>
      <c r="B64" s="183" t="s">
        <v>141</v>
      </c>
      <c r="C64" s="115">
        <v>0</v>
      </c>
      <c r="D64" s="126">
        <v>0</v>
      </c>
      <c r="E64" s="126">
        <v>0</v>
      </c>
      <c r="F64" s="107">
        <v>0</v>
      </c>
      <c r="G64" s="108">
        <v>0</v>
      </c>
      <c r="H64" s="184"/>
      <c r="I64" s="185" t="s">
        <v>141</v>
      </c>
      <c r="J64" s="115">
        <v>7350.7446680000003</v>
      </c>
      <c r="K64" s="126">
        <v>7601.7186040000006</v>
      </c>
      <c r="L64" s="198">
        <v>16428.95030774</v>
      </c>
      <c r="M64" s="116">
        <v>0</v>
      </c>
      <c r="N64" s="108">
        <v>0</v>
      </c>
    </row>
    <row r="65" spans="11:12">
      <c r="K65" s="60"/>
      <c r="L65" s="60"/>
    </row>
    <row r="67" spans="11:12">
      <c r="K67" s="60"/>
      <c r="L67" s="60"/>
    </row>
    <row r="69" spans="11:12">
      <c r="K69" s="60"/>
      <c r="L69" s="60"/>
    </row>
    <row r="72" spans="11:12">
      <c r="K72" s="60"/>
      <c r="L72" s="60"/>
    </row>
  </sheetData>
  <mergeCells count="10">
    <mergeCell ref="B4:G4"/>
    <mergeCell ref="I4:N4"/>
    <mergeCell ref="B2:G2"/>
    <mergeCell ref="I2:N2"/>
    <mergeCell ref="F7:G7"/>
    <mergeCell ref="M7:N7"/>
    <mergeCell ref="B5:G5"/>
    <mergeCell ref="I5:N5"/>
    <mergeCell ref="B3:G3"/>
    <mergeCell ref="I3:N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F77641-4C87-4114-8180-123F701C3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1A5AA8-91B6-4775-A3DB-813A988A939C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3.xml><?xml version="1.0" encoding="utf-8"?>
<ds:datastoreItem xmlns:ds="http://schemas.openxmlformats.org/officeDocument/2006/customXml" ds:itemID="{613819CD-8ABA-4492-AA92-CE15EF86F9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SIMPLE</vt:lpstr>
      <vt:lpstr>ACUMULADO</vt:lpstr>
      <vt:lpstr>INGRESOS</vt:lpstr>
      <vt:lpstr>ACUMULADO!Área_de_impresión</vt:lpstr>
      <vt:lpstr>SIMPLE!Área_de_impresión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Vivian Martinez Rivera</cp:lastModifiedBy>
  <cp:lastPrinted>2019-02-06T16:15:30Z</cp:lastPrinted>
  <dcterms:created xsi:type="dcterms:W3CDTF">1996-11-27T10:00:04Z</dcterms:created>
  <dcterms:modified xsi:type="dcterms:W3CDTF">2026-02-12T19:05:02Z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