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https://mhaciendacr.sharepoint.com/sites/SecretariaTecnica/UASF/Documentos compartidos/INGRESOS Y GASTOS RECONOCIDO/2025/11 Noviembre 2025/"/>
    </mc:Choice>
  </mc:AlternateContent>
  <xr:revisionPtr revIDLastSave="399" documentId="8_{CA4CC370-6149-4F0E-8A0F-2E1361FBBC72}" xr6:coauthVersionLast="47" xr6:coauthVersionMax="47" xr10:uidLastSave="{BF83AAA8-6327-4A65-A1A0-51A58344E88B}"/>
  <bookViews>
    <workbookView xWindow="-120" yWindow="-120" windowWidth="29040" windowHeight="15720" xr2:uid="{DB5CD809-CBF3-4F6A-A7C2-68DBDD947BE3}"/>
  </bookViews>
  <sheets>
    <sheet name="SIMPLE" sheetId="1" r:id="rId1"/>
    <sheet name="ACUMULADO" sheetId="10" r:id="rId2"/>
    <sheet name="Ingresos" sheetId="11" r:id="rId3"/>
  </sheets>
  <definedNames>
    <definedName name="\a">#REF!</definedName>
    <definedName name="ANITA">#REF!</definedName>
    <definedName name="_xlnm.Print_Area" localSheetId="1">ACUMULADO!$A$1:$AH$83</definedName>
    <definedName name="_xlnm.Print_Area" localSheetId="0">SIMPLE!$A$1:$AH$83</definedName>
    <definedName name="BERNA">#REF!</definedName>
    <definedName name="INGRE">#REF!</definedName>
    <definedName name="J">#REF!</definedName>
    <definedName name="NOTAS">#REF!</definedName>
    <definedName name="PASA">#REF!</definedName>
    <definedName name="REES">#REF!</definedName>
    <definedName name="RESU">#REF!</definedName>
    <definedName name="tabla">#REF!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24" i="1" l="1"/>
  <c r="M63" i="11"/>
  <c r="N63" i="11"/>
  <c r="F63" i="11"/>
  <c r="G63" i="11"/>
  <c r="M62" i="11"/>
  <c r="N62" i="11"/>
  <c r="G62" i="11"/>
  <c r="F62" i="11"/>
  <c r="N61" i="11"/>
  <c r="M61" i="11"/>
  <c r="F61" i="11"/>
  <c r="G61" i="11"/>
  <c r="M59" i="11"/>
  <c r="N59" i="11"/>
  <c r="G59" i="11"/>
  <c r="F59" i="11"/>
  <c r="N58" i="11"/>
  <c r="M58" i="11"/>
  <c r="F58" i="11"/>
  <c r="G58" i="11"/>
  <c r="M57" i="11"/>
  <c r="N57" i="11"/>
  <c r="G57" i="11"/>
  <c r="F57" i="11"/>
  <c r="N56" i="11"/>
  <c r="M56" i="11"/>
  <c r="F56" i="11"/>
  <c r="G56" i="11"/>
  <c r="M55" i="11"/>
  <c r="N55" i="11"/>
  <c r="G55" i="11"/>
  <c r="F55" i="11"/>
  <c r="N54" i="11"/>
  <c r="M54" i="11"/>
  <c r="F54" i="11"/>
  <c r="G54" i="11"/>
  <c r="M53" i="11"/>
  <c r="N53" i="11"/>
  <c r="G53" i="11"/>
  <c r="F53" i="11"/>
  <c r="N52" i="11"/>
  <c r="M52" i="11"/>
  <c r="F52" i="11"/>
  <c r="G52" i="11"/>
  <c r="M51" i="11"/>
  <c r="N51" i="11"/>
  <c r="G51" i="11"/>
  <c r="F51" i="11"/>
  <c r="N50" i="11"/>
  <c r="M50" i="11"/>
  <c r="F50" i="11"/>
  <c r="G50" i="11"/>
  <c r="M49" i="11"/>
  <c r="N49" i="11"/>
  <c r="G49" i="11"/>
  <c r="F49" i="11"/>
  <c r="N48" i="11"/>
  <c r="M48" i="11"/>
  <c r="F48" i="11"/>
  <c r="G48" i="11"/>
  <c r="M47" i="11"/>
  <c r="N47" i="11"/>
  <c r="G47" i="11"/>
  <c r="F47" i="11"/>
  <c r="N46" i="11"/>
  <c r="M46" i="11"/>
  <c r="F46" i="11"/>
  <c r="E43" i="11"/>
  <c r="G43" i="11" s="1"/>
  <c r="M45" i="11"/>
  <c r="N45" i="11"/>
  <c r="G45" i="11"/>
  <c r="F45" i="11"/>
  <c r="N44" i="11"/>
  <c r="M44" i="11"/>
  <c r="F44" i="11"/>
  <c r="G44" i="11"/>
  <c r="M43" i="11"/>
  <c r="F43" i="11"/>
  <c r="N41" i="11"/>
  <c r="M41" i="11"/>
  <c r="F41" i="11"/>
  <c r="G41" i="11"/>
  <c r="M40" i="11"/>
  <c r="L39" i="11"/>
  <c r="N39" i="11" s="1"/>
  <c r="F40" i="11"/>
  <c r="G40" i="11"/>
  <c r="M39" i="11"/>
  <c r="F39" i="11"/>
  <c r="E39" i="11"/>
  <c r="G39" i="11" s="1"/>
  <c r="M37" i="11"/>
  <c r="N37" i="11"/>
  <c r="F37" i="11"/>
  <c r="G37" i="11"/>
  <c r="M36" i="11"/>
  <c r="N36" i="11"/>
  <c r="F36" i="11"/>
  <c r="E35" i="11"/>
  <c r="G35" i="11" s="1"/>
  <c r="M35" i="11"/>
  <c r="L35" i="11"/>
  <c r="N35" i="11" s="1"/>
  <c r="F35" i="11"/>
  <c r="M33" i="11"/>
  <c r="N33" i="11"/>
  <c r="F33" i="11"/>
  <c r="G33" i="11"/>
  <c r="M32" i="11"/>
  <c r="N32" i="11"/>
  <c r="F32" i="11"/>
  <c r="G32" i="11"/>
  <c r="M31" i="11"/>
  <c r="N31" i="11"/>
  <c r="F31" i="11"/>
  <c r="E30" i="11"/>
  <c r="G30" i="11" s="1"/>
  <c r="M30" i="11"/>
  <c r="F30" i="11"/>
  <c r="M28" i="11"/>
  <c r="N28" i="11"/>
  <c r="F28" i="11"/>
  <c r="G28" i="11"/>
  <c r="M27" i="11"/>
  <c r="L26" i="11"/>
  <c r="N26" i="11" s="1"/>
  <c r="F27" i="11"/>
  <c r="G27" i="11"/>
  <c r="M26" i="11"/>
  <c r="F26" i="11"/>
  <c r="M24" i="11"/>
  <c r="N24" i="11"/>
  <c r="F24" i="11"/>
  <c r="G24" i="11"/>
  <c r="M23" i="11"/>
  <c r="N23" i="11"/>
  <c r="F23" i="11"/>
  <c r="G23" i="11"/>
  <c r="M22" i="11"/>
  <c r="L21" i="11"/>
  <c r="N21" i="11" s="1"/>
  <c r="F22" i="11"/>
  <c r="G22" i="11"/>
  <c r="M21" i="11"/>
  <c r="F21" i="11"/>
  <c r="E21" i="11"/>
  <c r="G21" i="11" s="1"/>
  <c r="N18" i="11"/>
  <c r="M18" i="11"/>
  <c r="G18" i="11"/>
  <c r="F18" i="11"/>
  <c r="N17" i="11"/>
  <c r="M17" i="11"/>
  <c r="G17" i="11"/>
  <c r="F17" i="11"/>
  <c r="N16" i="11"/>
  <c r="M16" i="11"/>
  <c r="G16" i="11"/>
  <c r="F16" i="11"/>
  <c r="N15" i="11"/>
  <c r="M15" i="11"/>
  <c r="L14" i="11"/>
  <c r="G15" i="11"/>
  <c r="F15" i="11"/>
  <c r="M14" i="11"/>
  <c r="F14" i="11"/>
  <c r="E14" i="11"/>
  <c r="G14" i="11" s="1"/>
  <c r="M12" i="11"/>
  <c r="F12" i="11"/>
  <c r="M10" i="11"/>
  <c r="F10" i="11"/>
  <c r="M9" i="11"/>
  <c r="F9" i="11"/>
  <c r="N14" i="11" l="1"/>
  <c r="L30" i="11"/>
  <c r="N30" i="11" s="1"/>
  <c r="L43" i="11"/>
  <c r="N43" i="11" s="1"/>
  <c r="N22" i="11"/>
  <c r="N27" i="11"/>
  <c r="N40" i="11"/>
  <c r="E26" i="11"/>
  <c r="G26" i="11" s="1"/>
  <c r="G31" i="11"/>
  <c r="G36" i="11"/>
  <c r="G46" i="11"/>
  <c r="AO58" i="1"/>
  <c r="L12" i="11" l="1"/>
  <c r="E12" i="11"/>
  <c r="AO68" i="1"/>
  <c r="AO67" i="1"/>
  <c r="AO66" i="1"/>
  <c r="AO63" i="1"/>
  <c r="AO62" i="1"/>
  <c r="AO61" i="1"/>
  <c r="AO60" i="1"/>
  <c r="AO54" i="1"/>
  <c r="AO53" i="1"/>
  <c r="AO52" i="1"/>
  <c r="AO51" i="1"/>
  <c r="AO48" i="1"/>
  <c r="AO47" i="1"/>
  <c r="AO45" i="1"/>
  <c r="AO44" i="1"/>
  <c r="AO43" i="1"/>
  <c r="AO34" i="1"/>
  <c r="AO32" i="1"/>
  <c r="AO31" i="1"/>
  <c r="AO30" i="1"/>
  <c r="AO29" i="1"/>
  <c r="AO27" i="1"/>
  <c r="AO26" i="1"/>
  <c r="AO25" i="1"/>
  <c r="AO23" i="1"/>
  <c r="AO22" i="1"/>
  <c r="AO20" i="1"/>
  <c r="AO19" i="1"/>
  <c r="AO18" i="1"/>
  <c r="AO16" i="1"/>
  <c r="AO15" i="1"/>
  <c r="AO13" i="1"/>
  <c r="V65" i="1"/>
  <c r="V59" i="1"/>
  <c r="V56" i="1" s="1"/>
  <c r="V50" i="1"/>
  <c r="V46" i="1"/>
  <c r="V42" i="1"/>
  <c r="V21" i="1"/>
  <c r="V17" i="1"/>
  <c r="V14" i="1"/>
  <c r="E10" i="11" l="1"/>
  <c r="G12" i="11"/>
  <c r="L10" i="11"/>
  <c r="N12" i="11"/>
  <c r="V40" i="1"/>
  <c r="V12" i="1"/>
  <c r="AO68" i="10"/>
  <c r="AO67" i="10"/>
  <c r="AO66" i="10"/>
  <c r="AO63" i="10"/>
  <c r="AO62" i="10"/>
  <c r="AO61" i="10"/>
  <c r="AO60" i="10"/>
  <c r="AO58" i="10"/>
  <c r="AO54" i="10"/>
  <c r="AO53" i="10"/>
  <c r="AO52" i="10"/>
  <c r="AO51" i="10"/>
  <c r="AO48" i="10"/>
  <c r="AO47" i="10"/>
  <c r="AO45" i="10"/>
  <c r="AO44" i="10"/>
  <c r="AO43" i="10"/>
  <c r="AO34" i="10"/>
  <c r="AO32" i="10"/>
  <c r="AO31" i="10"/>
  <c r="AO30" i="10"/>
  <c r="AO29" i="10"/>
  <c r="AO27" i="10"/>
  <c r="AO26" i="10"/>
  <c r="AO25" i="10"/>
  <c r="AO23" i="10"/>
  <c r="AO22" i="10"/>
  <c r="AO20" i="10"/>
  <c r="AO19" i="10"/>
  <c r="AO18" i="10"/>
  <c r="AO16" i="10"/>
  <c r="AO15" i="10"/>
  <c r="AO13" i="10"/>
  <c r="V73" i="10"/>
  <c r="V65" i="10"/>
  <c r="V59" i="10"/>
  <c r="V56" i="10" s="1"/>
  <c r="V50" i="10"/>
  <c r="V46" i="10"/>
  <c r="V42" i="10"/>
  <c r="V24" i="10"/>
  <c r="V21" i="10"/>
  <c r="V17" i="10"/>
  <c r="V14" i="10"/>
  <c r="U73" i="1"/>
  <c r="AN68" i="1"/>
  <c r="AN67" i="1"/>
  <c r="AN66" i="1"/>
  <c r="AN63" i="1"/>
  <c r="AN62" i="1"/>
  <c r="AN61" i="1"/>
  <c r="AN60" i="1"/>
  <c r="AN58" i="1"/>
  <c r="AN54" i="1"/>
  <c r="AN53" i="1"/>
  <c r="AN52" i="1"/>
  <c r="AN51" i="1"/>
  <c r="AN48" i="1"/>
  <c r="AN47" i="1"/>
  <c r="AN45" i="1"/>
  <c r="AN44" i="1"/>
  <c r="AN43" i="1"/>
  <c r="AN34" i="1"/>
  <c r="AN32" i="1"/>
  <c r="AN31" i="1"/>
  <c r="AN30" i="1"/>
  <c r="AN29" i="1"/>
  <c r="AN27" i="1"/>
  <c r="AN26" i="1"/>
  <c r="AN25" i="1"/>
  <c r="AN23" i="1"/>
  <c r="AN22" i="1"/>
  <c r="AN20" i="1"/>
  <c r="AN19" i="1"/>
  <c r="AN18" i="1"/>
  <c r="AN16" i="1"/>
  <c r="AN15" i="1"/>
  <c r="AN13" i="1"/>
  <c r="U24" i="10"/>
  <c r="U65" i="1"/>
  <c r="U59" i="1"/>
  <c r="AO59" i="1" s="1"/>
  <c r="U50" i="1"/>
  <c r="U46" i="1"/>
  <c r="U40" i="1" s="1"/>
  <c r="U42" i="1"/>
  <c r="AO42" i="1" s="1"/>
  <c r="U24" i="1"/>
  <c r="AO24" i="1" s="1"/>
  <c r="U21" i="1"/>
  <c r="AO21" i="1" s="1"/>
  <c r="U17" i="1"/>
  <c r="U14" i="1"/>
  <c r="AM29" i="10"/>
  <c r="AN29" i="10"/>
  <c r="AN68" i="10"/>
  <c r="AN67" i="10"/>
  <c r="AN66" i="10"/>
  <c r="AN63" i="10"/>
  <c r="AN62" i="10"/>
  <c r="AN61" i="10"/>
  <c r="AN60" i="10"/>
  <c r="AN58" i="10"/>
  <c r="AN54" i="10"/>
  <c r="AN53" i="10"/>
  <c r="AN52" i="10"/>
  <c r="AN51" i="10"/>
  <c r="AN48" i="10"/>
  <c r="AN47" i="10"/>
  <c r="AN45" i="10"/>
  <c r="AN44" i="10"/>
  <c r="AN43" i="10"/>
  <c r="AN34" i="10"/>
  <c r="AN32" i="10"/>
  <c r="AN31" i="10"/>
  <c r="AN30" i="10"/>
  <c r="AN27" i="10"/>
  <c r="AN26" i="10"/>
  <c r="AN25" i="10"/>
  <c r="AN23" i="10"/>
  <c r="AN22" i="10"/>
  <c r="AN20" i="10"/>
  <c r="AN19" i="10"/>
  <c r="AN18" i="10"/>
  <c r="AN16" i="10"/>
  <c r="AN15" i="10"/>
  <c r="AN13" i="10"/>
  <c r="U65" i="10"/>
  <c r="U59" i="10"/>
  <c r="U56" i="10" s="1"/>
  <c r="U50" i="10"/>
  <c r="U46" i="10"/>
  <c r="U42" i="10"/>
  <c r="U21" i="10"/>
  <c r="U17" i="10"/>
  <c r="U14" i="10"/>
  <c r="S74" i="10"/>
  <c r="S73" i="10" s="1"/>
  <c r="T74" i="1"/>
  <c r="T73" i="1" s="1"/>
  <c r="T74" i="10"/>
  <c r="T73" i="10" s="1"/>
  <c r="AL29" i="1"/>
  <c r="AM29" i="1"/>
  <c r="T65" i="1"/>
  <c r="AM68" i="10"/>
  <c r="AM67" i="10"/>
  <c r="AM66" i="10"/>
  <c r="AM63" i="10"/>
  <c r="AM62" i="10"/>
  <c r="AM61" i="10"/>
  <c r="AM60" i="10"/>
  <c r="AM58" i="10"/>
  <c r="AM54" i="10"/>
  <c r="AM53" i="10"/>
  <c r="AM52" i="10"/>
  <c r="AM51" i="10"/>
  <c r="AM48" i="10"/>
  <c r="AM47" i="10"/>
  <c r="AM45" i="10"/>
  <c r="AM44" i="10"/>
  <c r="AM43" i="10"/>
  <c r="AM34" i="10"/>
  <c r="AM32" i="10"/>
  <c r="AM31" i="10"/>
  <c r="AM30" i="10"/>
  <c r="AM27" i="10"/>
  <c r="AM26" i="10"/>
  <c r="AM25" i="10"/>
  <c r="AM23" i="10"/>
  <c r="AM22" i="10"/>
  <c r="AM20" i="10"/>
  <c r="AM19" i="10"/>
  <c r="AM18" i="10"/>
  <c r="AM16" i="10"/>
  <c r="AM15" i="10"/>
  <c r="AM13" i="10"/>
  <c r="AM68" i="1"/>
  <c r="AM67" i="1"/>
  <c r="AM66" i="1"/>
  <c r="AM63" i="1"/>
  <c r="AM62" i="1"/>
  <c r="AM61" i="1"/>
  <c r="AM60" i="1"/>
  <c r="AM58" i="1"/>
  <c r="AM54" i="1"/>
  <c r="AM53" i="1"/>
  <c r="AM52" i="1"/>
  <c r="AM51" i="1"/>
  <c r="AM48" i="1"/>
  <c r="AM47" i="1"/>
  <c r="AM45" i="1"/>
  <c r="AM44" i="1"/>
  <c r="AM43" i="1"/>
  <c r="AM34" i="1"/>
  <c r="AM32" i="1"/>
  <c r="AM31" i="1"/>
  <c r="AM30" i="1"/>
  <c r="AM27" i="1"/>
  <c r="AM26" i="1"/>
  <c r="AM25" i="1"/>
  <c r="AM23" i="1"/>
  <c r="AM22" i="1"/>
  <c r="AM20" i="1"/>
  <c r="AM19" i="1"/>
  <c r="AM18" i="1"/>
  <c r="AM16" i="1"/>
  <c r="AM15" i="1"/>
  <c r="AM13" i="1"/>
  <c r="T65" i="10"/>
  <c r="T59" i="10"/>
  <c r="T56" i="10" s="1"/>
  <c r="T50" i="10"/>
  <c r="T46" i="10"/>
  <c r="T42" i="10"/>
  <c r="T24" i="10"/>
  <c r="T21" i="10"/>
  <c r="T17" i="10"/>
  <c r="T14" i="10"/>
  <c r="T59" i="1"/>
  <c r="T56" i="1" s="1"/>
  <c r="T50" i="1"/>
  <c r="T46" i="1"/>
  <c r="T42" i="1"/>
  <c r="T24" i="1"/>
  <c r="T21" i="1"/>
  <c r="T17" i="1"/>
  <c r="T14" i="1"/>
  <c r="S46" i="1"/>
  <c r="S42" i="1"/>
  <c r="S50" i="1"/>
  <c r="S73" i="1"/>
  <c r="S24" i="10"/>
  <c r="S65" i="10"/>
  <c r="S65" i="1"/>
  <c r="AL68" i="1"/>
  <c r="AL67" i="1"/>
  <c r="AL66" i="1"/>
  <c r="AL63" i="1"/>
  <c r="AL62" i="1"/>
  <c r="AL61" i="1"/>
  <c r="AL60" i="1"/>
  <c r="AL58" i="1"/>
  <c r="AL54" i="1"/>
  <c r="AL53" i="1"/>
  <c r="AL52" i="1"/>
  <c r="AL51" i="1"/>
  <c r="AL48" i="1"/>
  <c r="AL47" i="1"/>
  <c r="AL45" i="1"/>
  <c r="AL44" i="1"/>
  <c r="AL43" i="1"/>
  <c r="AL34" i="1"/>
  <c r="AL32" i="1"/>
  <c r="AL31" i="1"/>
  <c r="AL30" i="1"/>
  <c r="AL27" i="1"/>
  <c r="AL26" i="1"/>
  <c r="AL25" i="1"/>
  <c r="AL23" i="1"/>
  <c r="AL22" i="1"/>
  <c r="AL20" i="1"/>
  <c r="AL19" i="1"/>
  <c r="AL18" i="1"/>
  <c r="AL16" i="1"/>
  <c r="AL15" i="1"/>
  <c r="AL13" i="1"/>
  <c r="S59" i="1"/>
  <c r="S24" i="1"/>
  <c r="S21" i="1"/>
  <c r="S17" i="1"/>
  <c r="S14" i="1"/>
  <c r="AL68" i="10"/>
  <c r="AL67" i="10"/>
  <c r="AL66" i="10"/>
  <c r="AL63" i="10"/>
  <c r="AL62" i="10"/>
  <c r="AL61" i="10"/>
  <c r="AL60" i="10"/>
  <c r="AL58" i="10"/>
  <c r="AL54" i="10"/>
  <c r="AL53" i="10"/>
  <c r="AL52" i="10"/>
  <c r="AL51" i="10"/>
  <c r="AL48" i="10"/>
  <c r="AL47" i="10"/>
  <c r="AL45" i="10"/>
  <c r="AL44" i="10"/>
  <c r="AL43" i="10"/>
  <c r="AL34" i="10"/>
  <c r="AL32" i="10"/>
  <c r="AL31" i="10"/>
  <c r="AL30" i="10"/>
  <c r="AL27" i="10"/>
  <c r="AL26" i="10"/>
  <c r="AL25" i="10"/>
  <c r="AL23" i="10"/>
  <c r="AL22" i="10"/>
  <c r="AL20" i="10"/>
  <c r="AL19" i="10"/>
  <c r="AL18" i="10"/>
  <c r="AL16" i="10"/>
  <c r="AL15" i="10"/>
  <c r="AL13" i="10"/>
  <c r="S59" i="10"/>
  <c r="S56" i="10" s="1"/>
  <c r="S50" i="10"/>
  <c r="S46" i="10"/>
  <c r="S42" i="10"/>
  <c r="S21" i="10"/>
  <c r="S14" i="10"/>
  <c r="S17" i="10"/>
  <c r="R73" i="1"/>
  <c r="R73" i="10"/>
  <c r="R65" i="1"/>
  <c r="AK68" i="1"/>
  <c r="AK67" i="1"/>
  <c r="AK66" i="1"/>
  <c r="AK63" i="1"/>
  <c r="AK62" i="1"/>
  <c r="AK61" i="1"/>
  <c r="AK60" i="1"/>
  <c r="AK58" i="1"/>
  <c r="AK54" i="1"/>
  <c r="AK53" i="1"/>
  <c r="AK52" i="1"/>
  <c r="AK51" i="1"/>
  <c r="AK48" i="1"/>
  <c r="AK47" i="1"/>
  <c r="AK45" i="1"/>
  <c r="AK44" i="1"/>
  <c r="AK43" i="1"/>
  <c r="AK34" i="1"/>
  <c r="AK32" i="1"/>
  <c r="AK31" i="1"/>
  <c r="AK30" i="1"/>
  <c r="AK27" i="1"/>
  <c r="AK26" i="1"/>
  <c r="AK25" i="1"/>
  <c r="AK23" i="1"/>
  <c r="AK22" i="1"/>
  <c r="AK20" i="1"/>
  <c r="AK19" i="1"/>
  <c r="AK18" i="1"/>
  <c r="AK16" i="1"/>
  <c r="AK15" i="1"/>
  <c r="AK13" i="1"/>
  <c r="AK68" i="10"/>
  <c r="AK67" i="10"/>
  <c r="AK66" i="10"/>
  <c r="AK63" i="10"/>
  <c r="AK62" i="10"/>
  <c r="AK61" i="10"/>
  <c r="AK60" i="10"/>
  <c r="AK58" i="10"/>
  <c r="AK54" i="10"/>
  <c r="AK53" i="10"/>
  <c r="AK52" i="10"/>
  <c r="AK51" i="10"/>
  <c r="AK48" i="10"/>
  <c r="AK47" i="10"/>
  <c r="AK45" i="10"/>
  <c r="AK44" i="10"/>
  <c r="AK43" i="10"/>
  <c r="AK34" i="10"/>
  <c r="AK32" i="10"/>
  <c r="AK31" i="10"/>
  <c r="AK30" i="10"/>
  <c r="AK27" i="10"/>
  <c r="AK26" i="10"/>
  <c r="AK25" i="10"/>
  <c r="AK23" i="10"/>
  <c r="AK22" i="10"/>
  <c r="AK20" i="10"/>
  <c r="AK19" i="10"/>
  <c r="AK18" i="10"/>
  <c r="AK16" i="10"/>
  <c r="AK15" i="10"/>
  <c r="AK13" i="10"/>
  <c r="R65" i="10"/>
  <c r="R59" i="10"/>
  <c r="R50" i="10"/>
  <c r="R46" i="10"/>
  <c r="R42" i="10"/>
  <c r="R24" i="10"/>
  <c r="R21" i="10"/>
  <c r="R17" i="10"/>
  <c r="R14" i="10"/>
  <c r="R59" i="1"/>
  <c r="R56" i="1" s="1"/>
  <c r="R50" i="1"/>
  <c r="R46" i="1"/>
  <c r="R42" i="1"/>
  <c r="R24" i="1"/>
  <c r="R21" i="1"/>
  <c r="R17" i="1"/>
  <c r="R14" i="1"/>
  <c r="Q24" i="10"/>
  <c r="Q17" i="1"/>
  <c r="AJ68" i="10"/>
  <c r="AI68" i="10"/>
  <c r="AH68" i="10"/>
  <c r="AG68" i="10"/>
  <c r="AF68" i="10"/>
  <c r="AE68" i="10"/>
  <c r="AD68" i="10"/>
  <c r="AC68" i="10"/>
  <c r="AB68" i="10"/>
  <c r="AA68" i="10"/>
  <c r="Z68" i="10"/>
  <c r="Y68" i="10"/>
  <c r="X68" i="10"/>
  <c r="AJ67" i="10"/>
  <c r="AI67" i="10"/>
  <c r="AH67" i="10"/>
  <c r="AG67" i="10"/>
  <c r="AF67" i="10"/>
  <c r="AE67" i="10"/>
  <c r="AD67" i="10"/>
  <c r="AC67" i="10"/>
  <c r="AB67" i="10"/>
  <c r="AA67" i="10"/>
  <c r="Z67" i="10"/>
  <c r="Y67" i="10"/>
  <c r="X67" i="10"/>
  <c r="AJ66" i="10"/>
  <c r="AI66" i="10"/>
  <c r="AH66" i="10"/>
  <c r="AG66" i="10"/>
  <c r="AF66" i="10"/>
  <c r="AE66" i="10"/>
  <c r="AD66" i="10"/>
  <c r="AC66" i="10"/>
  <c r="AB66" i="10"/>
  <c r="AA66" i="10"/>
  <c r="Z66" i="10"/>
  <c r="Y66" i="10"/>
  <c r="X66" i="10"/>
  <c r="Y65" i="10"/>
  <c r="X65" i="10"/>
  <c r="AJ63" i="10"/>
  <c r="AI63" i="10"/>
  <c r="AH63" i="10"/>
  <c r="AG63" i="10"/>
  <c r="AF63" i="10"/>
  <c r="AE63" i="10"/>
  <c r="AD63" i="10"/>
  <c r="AC63" i="10"/>
  <c r="AB63" i="10"/>
  <c r="AA63" i="10"/>
  <c r="Z63" i="10"/>
  <c r="Y63" i="10"/>
  <c r="X63" i="10"/>
  <c r="AJ62" i="10"/>
  <c r="AI62" i="10"/>
  <c r="AH62" i="10"/>
  <c r="AG62" i="10"/>
  <c r="AF62" i="10"/>
  <c r="AE62" i="10"/>
  <c r="AD62" i="10"/>
  <c r="AC62" i="10"/>
  <c r="AB62" i="10"/>
  <c r="AA62" i="10"/>
  <c r="Z62" i="10"/>
  <c r="Y62" i="10"/>
  <c r="X62" i="10"/>
  <c r="AJ61" i="10"/>
  <c r="AI61" i="10"/>
  <c r="AH61" i="10"/>
  <c r="AG61" i="10"/>
  <c r="AF61" i="10"/>
  <c r="AE61" i="10"/>
  <c r="AD61" i="10"/>
  <c r="AC61" i="10"/>
  <c r="AJ60" i="10"/>
  <c r="AI60" i="10"/>
  <c r="AH60" i="10"/>
  <c r="AG60" i="10"/>
  <c r="AF60" i="10"/>
  <c r="AE60" i="10"/>
  <c r="AD60" i="10"/>
  <c r="AC60" i="10"/>
  <c r="AB60" i="10"/>
  <c r="AA60" i="10"/>
  <c r="Z60" i="10"/>
  <c r="Y60" i="10"/>
  <c r="X60" i="10"/>
  <c r="AJ58" i="10"/>
  <c r="AI58" i="10"/>
  <c r="AH58" i="10"/>
  <c r="AG58" i="10"/>
  <c r="AF58" i="10"/>
  <c r="AE58" i="10"/>
  <c r="AD58" i="10"/>
  <c r="AC58" i="10"/>
  <c r="AB58" i="10"/>
  <c r="AA58" i="10"/>
  <c r="Z58" i="10"/>
  <c r="Y58" i="10"/>
  <c r="X58" i="10"/>
  <c r="AJ54" i="10"/>
  <c r="AI54" i="10"/>
  <c r="AH54" i="10"/>
  <c r="AG54" i="10"/>
  <c r="AF54" i="10"/>
  <c r="AE54" i="10"/>
  <c r="AD54" i="10"/>
  <c r="AC54" i="10"/>
  <c r="AB54" i="10"/>
  <c r="AA54" i="10"/>
  <c r="Z54" i="10"/>
  <c r="Y54" i="10"/>
  <c r="X54" i="10"/>
  <c r="AJ53" i="10"/>
  <c r="AI53" i="10"/>
  <c r="AH53" i="10"/>
  <c r="AG53" i="10"/>
  <c r="AF53" i="10"/>
  <c r="AE53" i="10"/>
  <c r="AD53" i="10"/>
  <c r="AC53" i="10"/>
  <c r="AB53" i="10"/>
  <c r="AA53" i="10"/>
  <c r="Z53" i="10"/>
  <c r="Y53" i="10"/>
  <c r="X53" i="10"/>
  <c r="AJ52" i="10"/>
  <c r="AI52" i="10"/>
  <c r="AH52" i="10"/>
  <c r="AG52" i="10"/>
  <c r="AF52" i="10"/>
  <c r="AE52" i="10"/>
  <c r="AD52" i="10"/>
  <c r="AC52" i="10"/>
  <c r="AB52" i="10"/>
  <c r="AA52" i="10"/>
  <c r="Z52" i="10"/>
  <c r="Y52" i="10"/>
  <c r="X52" i="10"/>
  <c r="AJ51" i="10"/>
  <c r="AI51" i="10"/>
  <c r="AH51" i="10"/>
  <c r="AG51" i="10"/>
  <c r="AF51" i="10"/>
  <c r="AE51" i="10"/>
  <c r="AD51" i="10"/>
  <c r="AC51" i="10"/>
  <c r="AB51" i="10"/>
  <c r="AA51" i="10"/>
  <c r="Z51" i="10"/>
  <c r="Y51" i="10"/>
  <c r="X51" i="10"/>
  <c r="AJ48" i="10"/>
  <c r="AI48" i="10"/>
  <c r="AH48" i="10"/>
  <c r="AG48" i="10"/>
  <c r="AF48" i="10"/>
  <c r="AE48" i="10"/>
  <c r="AD48" i="10"/>
  <c r="AC48" i="10"/>
  <c r="AB48" i="10"/>
  <c r="AA48" i="10"/>
  <c r="Z48" i="10"/>
  <c r="Y48" i="10"/>
  <c r="X48" i="10"/>
  <c r="AJ47" i="10"/>
  <c r="AI47" i="10"/>
  <c r="AH47" i="10"/>
  <c r="AG47" i="10"/>
  <c r="AF47" i="10"/>
  <c r="AE47" i="10"/>
  <c r="AD47" i="10"/>
  <c r="AC47" i="10"/>
  <c r="AB47" i="10"/>
  <c r="AA47" i="10"/>
  <c r="Z47" i="10"/>
  <c r="Y47" i="10"/>
  <c r="X47" i="10"/>
  <c r="AJ45" i="10"/>
  <c r="AI45" i="10"/>
  <c r="AH45" i="10"/>
  <c r="AG45" i="10"/>
  <c r="AF45" i="10"/>
  <c r="AE45" i="10"/>
  <c r="AD45" i="10"/>
  <c r="AC45" i="10"/>
  <c r="AB45" i="10"/>
  <c r="AA45" i="10"/>
  <c r="Z45" i="10"/>
  <c r="Y45" i="10"/>
  <c r="X45" i="10"/>
  <c r="AJ44" i="10"/>
  <c r="AI44" i="10"/>
  <c r="AH44" i="10"/>
  <c r="AG44" i="10"/>
  <c r="AF44" i="10"/>
  <c r="AE44" i="10"/>
  <c r="AD44" i="10"/>
  <c r="AC44" i="10"/>
  <c r="AB44" i="10"/>
  <c r="AA44" i="10"/>
  <c r="Z44" i="10"/>
  <c r="Y44" i="10"/>
  <c r="X44" i="10"/>
  <c r="AJ43" i="10"/>
  <c r="AI43" i="10"/>
  <c r="AH43" i="10"/>
  <c r="AG43" i="10"/>
  <c r="AF43" i="10"/>
  <c r="AE43" i="10"/>
  <c r="AD43" i="10"/>
  <c r="AC43" i="10"/>
  <c r="AB43" i="10"/>
  <c r="AA43" i="10"/>
  <c r="Z43" i="10"/>
  <c r="Y43" i="10"/>
  <c r="X43" i="10"/>
  <c r="AJ34" i="10"/>
  <c r="AI34" i="10"/>
  <c r="AH34" i="10"/>
  <c r="AG34" i="10"/>
  <c r="AF34" i="10"/>
  <c r="AE34" i="10"/>
  <c r="AD34" i="10"/>
  <c r="AC34" i="10"/>
  <c r="AB34" i="10"/>
  <c r="AA34" i="10"/>
  <c r="Z34" i="10"/>
  <c r="Y34" i="10"/>
  <c r="X34" i="10"/>
  <c r="AJ32" i="10"/>
  <c r="AI32" i="10"/>
  <c r="AH32" i="10"/>
  <c r="AG32" i="10"/>
  <c r="AF32" i="10"/>
  <c r="AE32" i="10"/>
  <c r="AD32" i="10"/>
  <c r="AC32" i="10"/>
  <c r="AB32" i="10"/>
  <c r="AA32" i="10"/>
  <c r="Z32" i="10"/>
  <c r="Y32" i="10"/>
  <c r="X32" i="10"/>
  <c r="AJ31" i="10"/>
  <c r="AI31" i="10"/>
  <c r="AH31" i="10"/>
  <c r="AG31" i="10"/>
  <c r="AF31" i="10"/>
  <c r="AE31" i="10"/>
  <c r="AD31" i="10"/>
  <c r="AC31" i="10"/>
  <c r="AB31" i="10"/>
  <c r="AA31" i="10"/>
  <c r="Z31" i="10"/>
  <c r="Y31" i="10"/>
  <c r="X31" i="10"/>
  <c r="AJ30" i="10"/>
  <c r="AI30" i="10"/>
  <c r="AH30" i="10"/>
  <c r="AG30" i="10"/>
  <c r="AF30" i="10"/>
  <c r="AE30" i="10"/>
  <c r="AD30" i="10"/>
  <c r="AC30" i="10"/>
  <c r="AB30" i="10"/>
  <c r="AA30" i="10"/>
  <c r="Z30" i="10"/>
  <c r="Y30" i="10"/>
  <c r="X30" i="10"/>
  <c r="AJ27" i="10"/>
  <c r="AI27" i="10"/>
  <c r="AH27" i="10"/>
  <c r="AG27" i="10"/>
  <c r="AF27" i="10"/>
  <c r="AE27" i="10"/>
  <c r="AD27" i="10"/>
  <c r="AC27" i="10"/>
  <c r="AB27" i="10"/>
  <c r="Y27" i="10"/>
  <c r="X27" i="10"/>
  <c r="AJ26" i="10"/>
  <c r="AI26" i="10"/>
  <c r="AH26" i="10"/>
  <c r="AG26" i="10"/>
  <c r="AF26" i="10"/>
  <c r="AE26" i="10"/>
  <c r="AD26" i="10"/>
  <c r="AC26" i="10"/>
  <c r="AB26" i="10"/>
  <c r="AA26" i="10"/>
  <c r="Z26" i="10"/>
  <c r="Y26" i="10"/>
  <c r="X26" i="10"/>
  <c r="AJ25" i="10"/>
  <c r="AI25" i="10"/>
  <c r="AH25" i="10"/>
  <c r="AG25" i="10"/>
  <c r="AF25" i="10"/>
  <c r="AE25" i="10"/>
  <c r="AD25" i="10"/>
  <c r="AC25" i="10"/>
  <c r="AB25" i="10"/>
  <c r="AA25" i="10"/>
  <c r="Z25" i="10"/>
  <c r="Y25" i="10"/>
  <c r="X25" i="10"/>
  <c r="AJ23" i="10"/>
  <c r="AI23" i="10"/>
  <c r="AH23" i="10"/>
  <c r="AG23" i="10"/>
  <c r="AF23" i="10"/>
  <c r="AE23" i="10"/>
  <c r="AD23" i="10"/>
  <c r="AC23" i="10"/>
  <c r="AB23" i="10"/>
  <c r="AA23" i="10"/>
  <c r="Z23" i="10"/>
  <c r="Y23" i="10"/>
  <c r="X23" i="10"/>
  <c r="AJ22" i="10"/>
  <c r="AI22" i="10"/>
  <c r="AH22" i="10"/>
  <c r="AG22" i="10"/>
  <c r="AF22" i="10"/>
  <c r="AE22" i="10"/>
  <c r="AD22" i="10"/>
  <c r="AC22" i="10"/>
  <c r="AB22" i="10"/>
  <c r="AA22" i="10"/>
  <c r="Z22" i="10"/>
  <c r="Y22" i="10"/>
  <c r="X22" i="10"/>
  <c r="AJ20" i="10"/>
  <c r="AI20" i="10"/>
  <c r="AH20" i="10"/>
  <c r="AG20" i="10"/>
  <c r="AF20" i="10"/>
  <c r="AE20" i="10"/>
  <c r="AD20" i="10"/>
  <c r="AC20" i="10"/>
  <c r="AB20" i="10"/>
  <c r="AA20" i="10"/>
  <c r="Z20" i="10"/>
  <c r="Y20" i="10"/>
  <c r="X20" i="10"/>
  <c r="AJ19" i="10"/>
  <c r="AI19" i="10"/>
  <c r="AH19" i="10"/>
  <c r="AG19" i="10"/>
  <c r="AF19" i="10"/>
  <c r="AE19" i="10"/>
  <c r="AD19" i="10"/>
  <c r="AC19" i="10"/>
  <c r="AB19" i="10"/>
  <c r="AA19" i="10"/>
  <c r="Z19" i="10"/>
  <c r="Y19" i="10"/>
  <c r="X19" i="10"/>
  <c r="AJ18" i="10"/>
  <c r="AI18" i="10"/>
  <c r="AH18" i="10"/>
  <c r="AG18" i="10"/>
  <c r="AF18" i="10"/>
  <c r="AE18" i="10"/>
  <c r="AD18" i="10"/>
  <c r="AC18" i="10"/>
  <c r="AB18" i="10"/>
  <c r="AA18" i="10"/>
  <c r="Z18" i="10"/>
  <c r="Y18" i="10"/>
  <c r="X18" i="10"/>
  <c r="AJ16" i="10"/>
  <c r="AI16" i="10"/>
  <c r="AH16" i="10"/>
  <c r="AG16" i="10"/>
  <c r="AF16" i="10"/>
  <c r="AE16" i="10"/>
  <c r="AD16" i="10"/>
  <c r="AC16" i="10"/>
  <c r="AB16" i="10"/>
  <c r="AA16" i="10"/>
  <c r="Z16" i="10"/>
  <c r="Y16" i="10"/>
  <c r="X16" i="10"/>
  <c r="AJ15" i="10"/>
  <c r="AI15" i="10"/>
  <c r="AH15" i="10"/>
  <c r="AG15" i="10"/>
  <c r="AF15" i="10"/>
  <c r="AE15" i="10"/>
  <c r="AD15" i="10"/>
  <c r="AC15" i="10"/>
  <c r="AB15" i="10"/>
  <c r="AA15" i="10"/>
  <c r="Z15" i="10"/>
  <c r="Y15" i="10"/>
  <c r="X15" i="10"/>
  <c r="AJ13" i="10"/>
  <c r="AI13" i="10"/>
  <c r="AH13" i="10"/>
  <c r="AG13" i="10"/>
  <c r="AF13" i="10"/>
  <c r="AE13" i="10"/>
  <c r="AD13" i="10"/>
  <c r="AC13" i="10"/>
  <c r="AB13" i="10"/>
  <c r="AA13" i="10"/>
  <c r="Z13" i="10"/>
  <c r="Y13" i="10"/>
  <c r="X13" i="10"/>
  <c r="W68" i="10"/>
  <c r="W67" i="10"/>
  <c r="W66" i="10"/>
  <c r="W65" i="10"/>
  <c r="W63" i="10"/>
  <c r="W62" i="10"/>
  <c r="W60" i="10"/>
  <c r="W58" i="10"/>
  <c r="W54" i="10"/>
  <c r="W53" i="10"/>
  <c r="W52" i="10"/>
  <c r="W51" i="10"/>
  <c r="W48" i="10"/>
  <c r="W47" i="10"/>
  <c r="W45" i="10"/>
  <c r="W44" i="10"/>
  <c r="W43" i="10"/>
  <c r="W34" i="10"/>
  <c r="W32" i="10"/>
  <c r="W31" i="10"/>
  <c r="W30" i="10"/>
  <c r="W27" i="10"/>
  <c r="W26" i="10"/>
  <c r="W25" i="10"/>
  <c r="W23" i="10"/>
  <c r="W22" i="10"/>
  <c r="W20" i="10"/>
  <c r="W19" i="10"/>
  <c r="W18" i="10"/>
  <c r="W16" i="10"/>
  <c r="W15" i="10"/>
  <c r="W13" i="10"/>
  <c r="O73" i="10"/>
  <c r="O65" i="10"/>
  <c r="O59" i="10"/>
  <c r="O56" i="10" s="1"/>
  <c r="O50" i="10"/>
  <c r="O46" i="10"/>
  <c r="O42" i="10"/>
  <c r="O24" i="10"/>
  <c r="O21" i="10"/>
  <c r="O17" i="10"/>
  <c r="O14" i="10"/>
  <c r="N73" i="10"/>
  <c r="N65" i="10"/>
  <c r="N59" i="10"/>
  <c r="N56" i="10" s="1"/>
  <c r="N50" i="10"/>
  <c r="N46" i="10"/>
  <c r="N42" i="10"/>
  <c r="N24" i="10"/>
  <c r="N21" i="10"/>
  <c r="N17" i="10"/>
  <c r="N14" i="10"/>
  <c r="M73" i="10"/>
  <c r="M65" i="10"/>
  <c r="M59" i="10"/>
  <c r="M56" i="10" s="1"/>
  <c r="M50" i="10"/>
  <c r="M46" i="10"/>
  <c r="M42" i="10"/>
  <c r="M24" i="10"/>
  <c r="M21" i="10"/>
  <c r="M17" i="10"/>
  <c r="M14" i="10"/>
  <c r="L73" i="10"/>
  <c r="L65" i="10"/>
  <c r="L59" i="10"/>
  <c r="L56" i="10" s="1"/>
  <c r="L50" i="10"/>
  <c r="L46" i="10"/>
  <c r="L42" i="10"/>
  <c r="L24" i="10"/>
  <c r="L21" i="10"/>
  <c r="L17" i="10"/>
  <c r="L14" i="10"/>
  <c r="I74" i="10"/>
  <c r="I73" i="10" s="1"/>
  <c r="K74" i="10"/>
  <c r="K73" i="10" s="1"/>
  <c r="K65" i="10"/>
  <c r="AE65" i="10" s="1"/>
  <c r="K59" i="10"/>
  <c r="K50" i="10"/>
  <c r="K46" i="10"/>
  <c r="K42" i="10"/>
  <c r="K24" i="10"/>
  <c r="K21" i="10"/>
  <c r="K17" i="10"/>
  <c r="K14" i="10"/>
  <c r="J74" i="10"/>
  <c r="J73" i="10" s="1"/>
  <c r="J65" i="10"/>
  <c r="J59" i="10"/>
  <c r="J56" i="10" s="1"/>
  <c r="J50" i="10"/>
  <c r="J40" i="10" s="1"/>
  <c r="J46" i="10"/>
  <c r="J42" i="10"/>
  <c r="J24" i="10"/>
  <c r="J21" i="10"/>
  <c r="J17" i="10"/>
  <c r="J14" i="10"/>
  <c r="I65" i="10"/>
  <c r="I59" i="10"/>
  <c r="I50" i="10"/>
  <c r="I46" i="10"/>
  <c r="I42" i="10"/>
  <c r="I24" i="10"/>
  <c r="I21" i="10"/>
  <c r="I17" i="10"/>
  <c r="I14" i="10"/>
  <c r="H73" i="10"/>
  <c r="H65" i="10"/>
  <c r="H61" i="10"/>
  <c r="H59" i="10" s="1"/>
  <c r="H56" i="10" s="1"/>
  <c r="H50" i="10"/>
  <c r="H46" i="10"/>
  <c r="H42" i="10"/>
  <c r="H24" i="10"/>
  <c r="H21" i="10"/>
  <c r="H17" i="10"/>
  <c r="H14" i="10"/>
  <c r="G73" i="10"/>
  <c r="G65" i="10"/>
  <c r="G61" i="10"/>
  <c r="G59" i="10" s="1"/>
  <c r="G50" i="10"/>
  <c r="G46" i="10"/>
  <c r="G42" i="10"/>
  <c r="G27" i="10"/>
  <c r="AA27" i="10" s="1"/>
  <c r="G24" i="10"/>
  <c r="G21" i="10"/>
  <c r="G17" i="10"/>
  <c r="G14" i="10"/>
  <c r="F73" i="10"/>
  <c r="F61" i="10"/>
  <c r="F50" i="10"/>
  <c r="F46" i="10"/>
  <c r="F42" i="10"/>
  <c r="F24" i="10"/>
  <c r="F21" i="10"/>
  <c r="F17" i="10"/>
  <c r="F14" i="10"/>
  <c r="E61" i="10"/>
  <c r="E50" i="10"/>
  <c r="E46" i="10"/>
  <c r="E42" i="10"/>
  <c r="E24" i="10"/>
  <c r="E21" i="10"/>
  <c r="E17" i="10"/>
  <c r="E14" i="10"/>
  <c r="D61" i="10"/>
  <c r="D59" i="10" s="1"/>
  <c r="D50" i="10"/>
  <c r="D46" i="10"/>
  <c r="D42" i="10"/>
  <c r="D24" i="10"/>
  <c r="D21" i="10"/>
  <c r="D17" i="10"/>
  <c r="D14" i="10"/>
  <c r="C61" i="10"/>
  <c r="C59" i="10" s="1"/>
  <c r="C56" i="10" s="1"/>
  <c r="C50" i="10"/>
  <c r="C46" i="10"/>
  <c r="C42" i="10"/>
  <c r="C24" i="10"/>
  <c r="C21" i="10"/>
  <c r="C17" i="10"/>
  <c r="C14" i="10"/>
  <c r="AE54" i="1"/>
  <c r="AJ68" i="1"/>
  <c r="AI68" i="1"/>
  <c r="AH68" i="1"/>
  <c r="AG68" i="1"/>
  <c r="AF68" i="1"/>
  <c r="AE68" i="1"/>
  <c r="AD68" i="1"/>
  <c r="AC68" i="1"/>
  <c r="AB68" i="1"/>
  <c r="AA68" i="1"/>
  <c r="Z68" i="1"/>
  <c r="Y68" i="1"/>
  <c r="X68" i="1"/>
  <c r="AJ67" i="1"/>
  <c r="AI67" i="1"/>
  <c r="AH67" i="1"/>
  <c r="AG67" i="1"/>
  <c r="AF67" i="1"/>
  <c r="AE67" i="1"/>
  <c r="AD67" i="1"/>
  <c r="AC67" i="1"/>
  <c r="AB67" i="1"/>
  <c r="AA67" i="1"/>
  <c r="Z67" i="1"/>
  <c r="Y67" i="1"/>
  <c r="X67" i="1"/>
  <c r="AJ66" i="1"/>
  <c r="AI66" i="1"/>
  <c r="AH66" i="1"/>
  <c r="AG66" i="1"/>
  <c r="AF66" i="1"/>
  <c r="AE66" i="1"/>
  <c r="AD66" i="1"/>
  <c r="AC66" i="1"/>
  <c r="AB66" i="1"/>
  <c r="AA66" i="1"/>
  <c r="Z66" i="1"/>
  <c r="Y66" i="1"/>
  <c r="X66" i="1"/>
  <c r="Z65" i="1"/>
  <c r="Y65" i="1"/>
  <c r="X65" i="1"/>
  <c r="AJ63" i="1"/>
  <c r="AI63" i="1"/>
  <c r="AH63" i="1"/>
  <c r="AG63" i="1"/>
  <c r="AF63" i="1"/>
  <c r="AE63" i="1"/>
  <c r="AD63" i="1"/>
  <c r="AC63" i="1"/>
  <c r="AB63" i="1"/>
  <c r="AA63" i="1"/>
  <c r="Z63" i="1"/>
  <c r="Y63" i="1"/>
  <c r="X63" i="1"/>
  <c r="AJ62" i="1"/>
  <c r="AI62" i="1"/>
  <c r="AH62" i="1"/>
  <c r="AG62" i="1"/>
  <c r="AF62" i="1"/>
  <c r="AE62" i="1"/>
  <c r="AD62" i="1"/>
  <c r="AC62" i="1"/>
  <c r="AB62" i="1"/>
  <c r="AA62" i="1"/>
  <c r="Z62" i="1"/>
  <c r="Y62" i="1"/>
  <c r="X62" i="1"/>
  <c r="AJ61" i="1"/>
  <c r="AI61" i="1"/>
  <c r="AH61" i="1"/>
  <c r="AG61" i="1"/>
  <c r="AF61" i="1"/>
  <c r="AE61" i="1"/>
  <c r="AD61" i="1"/>
  <c r="AC61" i="1"/>
  <c r="AB61" i="1"/>
  <c r="Y61" i="1"/>
  <c r="AJ60" i="1"/>
  <c r="AI60" i="1"/>
  <c r="AH60" i="1"/>
  <c r="AG60" i="1"/>
  <c r="AF60" i="1"/>
  <c r="AE60" i="1"/>
  <c r="AD60" i="1"/>
  <c r="AC60" i="1"/>
  <c r="AB60" i="1"/>
  <c r="AA60" i="1"/>
  <c r="Z60" i="1"/>
  <c r="Y60" i="1"/>
  <c r="X60" i="1"/>
  <c r="AJ58" i="1"/>
  <c r="AI58" i="1"/>
  <c r="AH58" i="1"/>
  <c r="AG58" i="1"/>
  <c r="AF58" i="1"/>
  <c r="AE58" i="1"/>
  <c r="AD58" i="1"/>
  <c r="AC58" i="1"/>
  <c r="AB58" i="1"/>
  <c r="AA58" i="1"/>
  <c r="Z58" i="1"/>
  <c r="Y58" i="1"/>
  <c r="X58" i="1"/>
  <c r="AJ54" i="1"/>
  <c r="AI54" i="1"/>
  <c r="AH54" i="1"/>
  <c r="AG54" i="1"/>
  <c r="AF54" i="1"/>
  <c r="AD54" i="1"/>
  <c r="AC54" i="1"/>
  <c r="AB54" i="1"/>
  <c r="AA54" i="1"/>
  <c r="Z54" i="1"/>
  <c r="Y54" i="1"/>
  <c r="X54" i="1"/>
  <c r="AJ53" i="1"/>
  <c r="AI53" i="1"/>
  <c r="AH53" i="1"/>
  <c r="AG53" i="1"/>
  <c r="AF53" i="1"/>
  <c r="AE53" i="1"/>
  <c r="AD53" i="1"/>
  <c r="AC53" i="1"/>
  <c r="AB53" i="1"/>
  <c r="AA53" i="1"/>
  <c r="Z53" i="1"/>
  <c r="Y53" i="1"/>
  <c r="X53" i="1"/>
  <c r="AJ52" i="1"/>
  <c r="AI52" i="1"/>
  <c r="AH52" i="1"/>
  <c r="AG52" i="1"/>
  <c r="AF52" i="1"/>
  <c r="AE52" i="1"/>
  <c r="AD52" i="1"/>
  <c r="AC52" i="1"/>
  <c r="AB52" i="1"/>
  <c r="AA52" i="1"/>
  <c r="Z52" i="1"/>
  <c r="Y52" i="1"/>
  <c r="AJ51" i="1"/>
  <c r="AI51" i="1"/>
  <c r="AH51" i="1"/>
  <c r="AG51" i="1"/>
  <c r="AF51" i="1"/>
  <c r="AE51" i="1"/>
  <c r="AD51" i="1"/>
  <c r="AC51" i="1"/>
  <c r="AB51" i="1"/>
  <c r="AA51" i="1"/>
  <c r="Z51" i="1"/>
  <c r="Y51" i="1"/>
  <c r="AJ48" i="1"/>
  <c r="AI48" i="1"/>
  <c r="AH48" i="1"/>
  <c r="AG48" i="1"/>
  <c r="AF48" i="1"/>
  <c r="AE48" i="1"/>
  <c r="AD48" i="1"/>
  <c r="AC48" i="1"/>
  <c r="AB48" i="1"/>
  <c r="AA48" i="1"/>
  <c r="Z48" i="1"/>
  <c r="Y48" i="1"/>
  <c r="X48" i="1"/>
  <c r="AJ47" i="1"/>
  <c r="AI47" i="1"/>
  <c r="AH47" i="1"/>
  <c r="AG47" i="1"/>
  <c r="AF47" i="1"/>
  <c r="AE47" i="1"/>
  <c r="AD47" i="1"/>
  <c r="AC47" i="1"/>
  <c r="AB47" i="1"/>
  <c r="AA47" i="1"/>
  <c r="Z47" i="1"/>
  <c r="Y47" i="1"/>
  <c r="X47" i="1"/>
  <c r="AJ45" i="1"/>
  <c r="AI45" i="1"/>
  <c r="AH45" i="1"/>
  <c r="AG45" i="1"/>
  <c r="AF45" i="1"/>
  <c r="AE45" i="1"/>
  <c r="AD45" i="1"/>
  <c r="AC45" i="1"/>
  <c r="AB45" i="1"/>
  <c r="AA45" i="1"/>
  <c r="Z45" i="1"/>
  <c r="Y45" i="1"/>
  <c r="X45" i="1"/>
  <c r="AJ44" i="1"/>
  <c r="AI44" i="1"/>
  <c r="AH44" i="1"/>
  <c r="AG44" i="1"/>
  <c r="AF44" i="1"/>
  <c r="AE44" i="1"/>
  <c r="AD44" i="1"/>
  <c r="AC44" i="1"/>
  <c r="AB44" i="1"/>
  <c r="AA44" i="1"/>
  <c r="Z44" i="1"/>
  <c r="Y44" i="1"/>
  <c r="X44" i="1"/>
  <c r="AJ43" i="1"/>
  <c r="AI43" i="1"/>
  <c r="AH43" i="1"/>
  <c r="AG43" i="1"/>
  <c r="AF43" i="1"/>
  <c r="AE43" i="1"/>
  <c r="AD43" i="1"/>
  <c r="AC43" i="1"/>
  <c r="AB43" i="1"/>
  <c r="AA43" i="1"/>
  <c r="Z43" i="1"/>
  <c r="Y43" i="1"/>
  <c r="X43" i="1"/>
  <c r="AJ34" i="1"/>
  <c r="AI34" i="1"/>
  <c r="AH34" i="1"/>
  <c r="AG34" i="1"/>
  <c r="AF34" i="1"/>
  <c r="AE34" i="1"/>
  <c r="AD34" i="1"/>
  <c r="AC34" i="1"/>
  <c r="AB34" i="1"/>
  <c r="AA34" i="1"/>
  <c r="Z34" i="1"/>
  <c r="Y34" i="1"/>
  <c r="X34" i="1"/>
  <c r="AJ32" i="1"/>
  <c r="AI32" i="1"/>
  <c r="AH32" i="1"/>
  <c r="AG32" i="1"/>
  <c r="AF32" i="1"/>
  <c r="AE32" i="1"/>
  <c r="AD32" i="1"/>
  <c r="AC32" i="1"/>
  <c r="AB32" i="1"/>
  <c r="AA32" i="1"/>
  <c r="Z32" i="1"/>
  <c r="Y32" i="1"/>
  <c r="X32" i="1"/>
  <c r="AJ31" i="1"/>
  <c r="AI31" i="1"/>
  <c r="AH31" i="1"/>
  <c r="AG31" i="1"/>
  <c r="AF31" i="1"/>
  <c r="AE31" i="1"/>
  <c r="AD31" i="1"/>
  <c r="AC31" i="1"/>
  <c r="AB31" i="1"/>
  <c r="AA31" i="1"/>
  <c r="Z31" i="1"/>
  <c r="Y31" i="1"/>
  <c r="X31" i="1"/>
  <c r="AJ30" i="1"/>
  <c r="AI30" i="1"/>
  <c r="AH30" i="1"/>
  <c r="AG30" i="1"/>
  <c r="AF30" i="1"/>
  <c r="AE30" i="1"/>
  <c r="AD30" i="1"/>
  <c r="AC30" i="1"/>
  <c r="AB30" i="1"/>
  <c r="AA30" i="1"/>
  <c r="Z30" i="1"/>
  <c r="Y30" i="1"/>
  <c r="X30" i="1"/>
  <c r="AJ27" i="1"/>
  <c r="AI27" i="1"/>
  <c r="AH27" i="1"/>
  <c r="AG27" i="1"/>
  <c r="AF27" i="1"/>
  <c r="AE27" i="1"/>
  <c r="AD27" i="1"/>
  <c r="AC27" i="1"/>
  <c r="AB27" i="1"/>
  <c r="Y27" i="1"/>
  <c r="X27" i="1"/>
  <c r="AJ26" i="1"/>
  <c r="AI26" i="1"/>
  <c r="AH26" i="1"/>
  <c r="AG26" i="1"/>
  <c r="AF26" i="1"/>
  <c r="AE26" i="1"/>
  <c r="AD26" i="1"/>
  <c r="AC26" i="1"/>
  <c r="AB26" i="1"/>
  <c r="AA26" i="1"/>
  <c r="Z26" i="1"/>
  <c r="Y26" i="1"/>
  <c r="X26" i="1"/>
  <c r="AJ25" i="1"/>
  <c r="AI25" i="1"/>
  <c r="AH25" i="1"/>
  <c r="AG25" i="1"/>
  <c r="AF25" i="1"/>
  <c r="AE25" i="1"/>
  <c r="AD25" i="1"/>
  <c r="AC25" i="1"/>
  <c r="AB25" i="1"/>
  <c r="AA25" i="1"/>
  <c r="Z25" i="1"/>
  <c r="Y25" i="1"/>
  <c r="X25" i="1"/>
  <c r="AJ23" i="1"/>
  <c r="AI23" i="1"/>
  <c r="AH23" i="1"/>
  <c r="AG23" i="1"/>
  <c r="AF23" i="1"/>
  <c r="AE23" i="1"/>
  <c r="AD23" i="1"/>
  <c r="AC23" i="1"/>
  <c r="AB23" i="1"/>
  <c r="AA23" i="1"/>
  <c r="Z23" i="1"/>
  <c r="Y23" i="1"/>
  <c r="X23" i="1"/>
  <c r="AJ22" i="1"/>
  <c r="AI22" i="1"/>
  <c r="AH22" i="1"/>
  <c r="AG22" i="1"/>
  <c r="AF22" i="1"/>
  <c r="AE22" i="1"/>
  <c r="AD22" i="1"/>
  <c r="AC22" i="1"/>
  <c r="AB22" i="1"/>
  <c r="AA22" i="1"/>
  <c r="Z22" i="1"/>
  <c r="Y22" i="1"/>
  <c r="X22" i="1"/>
  <c r="AJ20" i="1"/>
  <c r="AI20" i="1"/>
  <c r="AH20" i="1"/>
  <c r="AG20" i="1"/>
  <c r="AF20" i="1"/>
  <c r="AE20" i="1"/>
  <c r="AD20" i="1"/>
  <c r="AC20" i="1"/>
  <c r="AB20" i="1"/>
  <c r="AA20" i="1"/>
  <c r="Z20" i="1"/>
  <c r="Y20" i="1"/>
  <c r="X20" i="1"/>
  <c r="AJ19" i="1"/>
  <c r="AI19" i="1"/>
  <c r="AH19" i="1"/>
  <c r="AG19" i="1"/>
  <c r="AF19" i="1"/>
  <c r="AE19" i="1"/>
  <c r="AD19" i="1"/>
  <c r="AC19" i="1"/>
  <c r="AB19" i="1"/>
  <c r="AA19" i="1"/>
  <c r="Z19" i="1"/>
  <c r="Y19" i="1"/>
  <c r="X19" i="1"/>
  <c r="AJ18" i="1"/>
  <c r="AI18" i="1"/>
  <c r="AH18" i="1"/>
  <c r="AG18" i="1"/>
  <c r="AF18" i="1"/>
  <c r="AE18" i="1"/>
  <c r="AD18" i="1"/>
  <c r="AC18" i="1"/>
  <c r="AB18" i="1"/>
  <c r="AA18" i="1"/>
  <c r="Z18" i="1"/>
  <c r="Y18" i="1"/>
  <c r="X18" i="1"/>
  <c r="AJ16" i="1"/>
  <c r="AI16" i="1"/>
  <c r="AH16" i="1"/>
  <c r="AG16" i="1"/>
  <c r="AF16" i="1"/>
  <c r="AE16" i="1"/>
  <c r="AD16" i="1"/>
  <c r="AC16" i="1"/>
  <c r="AB16" i="1"/>
  <c r="AA16" i="1"/>
  <c r="Z16" i="1"/>
  <c r="Y16" i="1"/>
  <c r="X16" i="1"/>
  <c r="AJ15" i="1"/>
  <c r="AI15" i="1"/>
  <c r="AH15" i="1"/>
  <c r="AG15" i="1"/>
  <c r="AF15" i="1"/>
  <c r="AE15" i="1"/>
  <c r="AD15" i="1"/>
  <c r="AC15" i="1"/>
  <c r="AB15" i="1"/>
  <c r="AA15" i="1"/>
  <c r="Z15" i="1"/>
  <c r="Y15" i="1"/>
  <c r="X15" i="1"/>
  <c r="AJ13" i="1"/>
  <c r="AI13" i="1"/>
  <c r="AH13" i="1"/>
  <c r="AG13" i="1"/>
  <c r="AF13" i="1"/>
  <c r="AE13" i="1"/>
  <c r="AD13" i="1"/>
  <c r="AC13" i="1"/>
  <c r="AB13" i="1"/>
  <c r="AA13" i="1"/>
  <c r="Z13" i="1"/>
  <c r="Y13" i="1"/>
  <c r="X13" i="1"/>
  <c r="W68" i="1"/>
  <c r="W67" i="1"/>
  <c r="W66" i="1"/>
  <c r="W65" i="1"/>
  <c r="W63" i="1"/>
  <c r="W62" i="1"/>
  <c r="W60" i="1"/>
  <c r="W58" i="1"/>
  <c r="W54" i="1"/>
  <c r="W53" i="1"/>
  <c r="W48" i="1"/>
  <c r="W47" i="1"/>
  <c r="W45" i="1"/>
  <c r="W44" i="1"/>
  <c r="W43" i="1"/>
  <c r="W34" i="1"/>
  <c r="W32" i="1"/>
  <c r="W31" i="1"/>
  <c r="W30" i="1"/>
  <c r="W27" i="1"/>
  <c r="W26" i="1"/>
  <c r="W25" i="1"/>
  <c r="W23" i="1"/>
  <c r="W22" i="1"/>
  <c r="W20" i="1"/>
  <c r="W19" i="1"/>
  <c r="W18" i="1"/>
  <c r="W16" i="1"/>
  <c r="W15" i="1"/>
  <c r="W13" i="1"/>
  <c r="O73" i="1"/>
  <c r="O65" i="1"/>
  <c r="O59" i="1"/>
  <c r="O56" i="1" s="1"/>
  <c r="O50" i="1"/>
  <c r="O46" i="1"/>
  <c r="O42" i="1"/>
  <c r="O24" i="1"/>
  <c r="O21" i="1"/>
  <c r="O17" i="1"/>
  <c r="O14" i="1"/>
  <c r="N73" i="1"/>
  <c r="N65" i="1"/>
  <c r="N59" i="1"/>
  <c r="N56" i="1" s="1"/>
  <c r="N50" i="1"/>
  <c r="N46" i="1"/>
  <c r="N42" i="1"/>
  <c r="N24" i="1"/>
  <c r="N21" i="1"/>
  <c r="N17" i="1"/>
  <c r="N14" i="1"/>
  <c r="M73" i="1"/>
  <c r="M65" i="1"/>
  <c r="M59" i="1"/>
  <c r="M56" i="1" s="1"/>
  <c r="M50" i="1"/>
  <c r="M46" i="1"/>
  <c r="M42" i="1"/>
  <c r="M24" i="1"/>
  <c r="M21" i="1"/>
  <c r="M17" i="1"/>
  <c r="M14" i="1"/>
  <c r="L73" i="1"/>
  <c r="L65" i="1"/>
  <c r="AF65" i="1" s="1"/>
  <c r="L59" i="1"/>
  <c r="L50" i="1"/>
  <c r="L46" i="1"/>
  <c r="L42" i="1"/>
  <c r="L24" i="1"/>
  <c r="L21" i="1"/>
  <c r="L17" i="1"/>
  <c r="L14" i="1"/>
  <c r="K73" i="1"/>
  <c r="K65" i="1"/>
  <c r="K59" i="1"/>
  <c r="K56" i="1" s="1"/>
  <c r="K50" i="1"/>
  <c r="AD50" i="1" s="1"/>
  <c r="K46" i="1"/>
  <c r="K42" i="1"/>
  <c r="K24" i="1"/>
  <c r="K21" i="1"/>
  <c r="K17" i="1"/>
  <c r="K14" i="1"/>
  <c r="J74" i="1"/>
  <c r="J73" i="1" s="1"/>
  <c r="J65" i="1"/>
  <c r="J59" i="1"/>
  <c r="J56" i="1" s="1"/>
  <c r="J50" i="1"/>
  <c r="J46" i="1"/>
  <c r="J40" i="1" s="1"/>
  <c r="J42" i="1"/>
  <c r="J24" i="1"/>
  <c r="J21" i="1"/>
  <c r="J17" i="1"/>
  <c r="J14" i="1"/>
  <c r="I74" i="1"/>
  <c r="I73" i="1" s="1"/>
  <c r="I65" i="1"/>
  <c r="I59" i="1"/>
  <c r="I50" i="1"/>
  <c r="I46" i="1"/>
  <c r="I42" i="1"/>
  <c r="I24" i="1"/>
  <c r="AB24" i="1" s="1"/>
  <c r="I21" i="1"/>
  <c r="I17" i="1"/>
  <c r="I14" i="1"/>
  <c r="H73" i="1"/>
  <c r="H65" i="1"/>
  <c r="AA65" i="1" s="1"/>
  <c r="H59" i="1"/>
  <c r="H50" i="1"/>
  <c r="H46" i="1"/>
  <c r="H42" i="1"/>
  <c r="H24" i="1"/>
  <c r="H21" i="1"/>
  <c r="H17" i="1"/>
  <c r="H14" i="1"/>
  <c r="G73" i="1"/>
  <c r="G61" i="1"/>
  <c r="G59" i="1" s="1"/>
  <c r="G50" i="1"/>
  <c r="G46" i="1"/>
  <c r="G42" i="1"/>
  <c r="G27" i="1"/>
  <c r="Z27" i="1" s="1"/>
  <c r="G24" i="1"/>
  <c r="G21" i="1"/>
  <c r="G17" i="1"/>
  <c r="G14" i="1"/>
  <c r="F73" i="1"/>
  <c r="F59" i="1"/>
  <c r="Y59" i="1" s="1"/>
  <c r="F50" i="1"/>
  <c r="F46" i="1"/>
  <c r="F42" i="1"/>
  <c r="F24" i="1"/>
  <c r="F21" i="1"/>
  <c r="Y21" i="1" s="1"/>
  <c r="F17" i="1"/>
  <c r="F14" i="1"/>
  <c r="E59" i="1"/>
  <c r="E56" i="1" s="1"/>
  <c r="E50" i="1"/>
  <c r="E46" i="1"/>
  <c r="E42" i="1"/>
  <c r="E24" i="1"/>
  <c r="E21" i="1"/>
  <c r="E17" i="1"/>
  <c r="E14" i="1"/>
  <c r="D61" i="1"/>
  <c r="D59" i="1" s="1"/>
  <c r="D56" i="1" s="1"/>
  <c r="D52" i="1"/>
  <c r="W52" i="1" s="1"/>
  <c r="D51" i="1"/>
  <c r="W51" i="1" s="1"/>
  <c r="D46" i="1"/>
  <c r="D42" i="1"/>
  <c r="D24" i="1"/>
  <c r="W24" i="1" s="1"/>
  <c r="D21" i="1"/>
  <c r="D17" i="1"/>
  <c r="W17" i="1" s="1"/>
  <c r="D14" i="1"/>
  <c r="W14" i="1" s="1"/>
  <c r="C61" i="1"/>
  <c r="C59" i="1" s="1"/>
  <c r="C56" i="1" s="1"/>
  <c r="C50" i="1"/>
  <c r="C46" i="1"/>
  <c r="C42" i="1"/>
  <c r="C11" i="1"/>
  <c r="C9" i="1" s="1"/>
  <c r="P14" i="10"/>
  <c r="P65" i="1"/>
  <c r="P73" i="10"/>
  <c r="P65" i="10"/>
  <c r="AI65" i="10" s="1"/>
  <c r="P59" i="10"/>
  <c r="P56" i="10" s="1"/>
  <c r="P50" i="10"/>
  <c r="P46" i="10"/>
  <c r="P42" i="10"/>
  <c r="P24" i="10"/>
  <c r="P21" i="10"/>
  <c r="AI21" i="10" s="1"/>
  <c r="P17" i="10"/>
  <c r="P73" i="1"/>
  <c r="P59" i="1"/>
  <c r="P56" i="1" s="1"/>
  <c r="P50" i="1"/>
  <c r="P46" i="1"/>
  <c r="P42" i="1"/>
  <c r="P24" i="1"/>
  <c r="P21" i="1"/>
  <c r="P17" i="1"/>
  <c r="AI17" i="1" s="1"/>
  <c r="P14" i="1"/>
  <c r="AI14" i="1" s="1"/>
  <c r="Q73" i="1"/>
  <c r="Q65" i="1"/>
  <c r="Q59" i="1"/>
  <c r="Q50" i="1"/>
  <c r="Q46" i="1"/>
  <c r="Q42" i="1"/>
  <c r="AK42" i="1" s="1"/>
  <c r="Q24" i="1"/>
  <c r="Q21" i="1"/>
  <c r="Q14" i="1"/>
  <c r="AK14" i="1" s="1"/>
  <c r="Q73" i="10"/>
  <c r="Q65" i="10"/>
  <c r="Q59" i="10"/>
  <c r="Q50" i="10"/>
  <c r="Q46" i="10"/>
  <c r="Q42" i="10"/>
  <c r="Q21" i="10"/>
  <c r="Q17" i="10"/>
  <c r="Q14" i="10"/>
  <c r="AK24" i="10"/>
  <c r="AA50" i="10"/>
  <c r="K56" i="10"/>
  <c r="AE21" i="1"/>
  <c r="AL14" i="1"/>
  <c r="U56" i="1"/>
  <c r="AO56" i="1" s="1"/>
  <c r="U73" i="10"/>
  <c r="N10" i="11" l="1"/>
  <c r="L9" i="11"/>
  <c r="N9" i="11" s="1"/>
  <c r="G10" i="11"/>
  <c r="E9" i="11"/>
  <c r="G9" i="11" s="1"/>
  <c r="AB61" i="10"/>
  <c r="AM46" i="10"/>
  <c r="AL50" i="1"/>
  <c r="X52" i="1"/>
  <c r="AL65" i="1"/>
  <c r="AH21" i="10"/>
  <c r="AM65" i="10"/>
  <c r="D40" i="10"/>
  <c r="AJ65" i="1"/>
  <c r="Z46" i="10"/>
  <c r="AD14" i="10"/>
  <c r="AD17" i="10"/>
  <c r="AF42" i="10"/>
  <c r="O12" i="10"/>
  <c r="O11" i="10" s="1"/>
  <c r="O9" i="10" s="1"/>
  <c r="R40" i="10"/>
  <c r="AL40" i="10" s="1"/>
  <c r="AK21" i="1"/>
  <c r="AG24" i="1"/>
  <c r="AG17" i="10"/>
  <c r="AF21" i="1"/>
  <c r="AL46" i="1"/>
  <c r="AM21" i="1"/>
  <c r="Y42" i="10"/>
  <c r="AI46" i="1"/>
  <c r="I40" i="1"/>
  <c r="AC40" i="1" s="1"/>
  <c r="AG14" i="1"/>
  <c r="AN24" i="1"/>
  <c r="AC50" i="10"/>
  <c r="X51" i="1"/>
  <c r="S40" i="10"/>
  <c r="U12" i="10"/>
  <c r="U11" i="10" s="1"/>
  <c r="AJ59" i="1"/>
  <c r="AE17" i="1"/>
  <c r="AA24" i="10"/>
  <c r="AF17" i="10"/>
  <c r="AM24" i="1"/>
  <c r="W14" i="10"/>
  <c r="AN14" i="10"/>
  <c r="AK46" i="10"/>
  <c r="AI24" i="10"/>
  <c r="T40" i="1"/>
  <c r="AN40" i="1" s="1"/>
  <c r="AD46" i="1"/>
  <c r="AD59" i="1"/>
  <c r="J36" i="1"/>
  <c r="J38" i="1" s="1"/>
  <c r="E40" i="1"/>
  <c r="E36" i="1" s="1"/>
  <c r="E38" i="1" s="1"/>
  <c r="G40" i="1"/>
  <c r="AF24" i="1"/>
  <c r="N40" i="1"/>
  <c r="N36" i="1" s="1"/>
  <c r="N38" i="1" s="1"/>
  <c r="AL24" i="10"/>
  <c r="U40" i="10"/>
  <c r="U36" i="10" s="1"/>
  <c r="AD21" i="1"/>
  <c r="AE24" i="1"/>
  <c r="F40" i="1"/>
  <c r="AB17" i="1"/>
  <c r="AE46" i="1"/>
  <c r="AG50" i="1"/>
  <c r="AH65" i="1"/>
  <c r="AA42" i="10"/>
  <c r="AC65" i="1"/>
  <c r="AH24" i="1"/>
  <c r="AI65" i="1"/>
  <c r="Y17" i="1"/>
  <c r="AG21" i="10"/>
  <c r="AL59" i="1"/>
  <c r="AC14" i="1"/>
  <c r="AG56" i="1"/>
  <c r="AB46" i="10"/>
  <c r="AC59" i="10"/>
  <c r="AG24" i="10"/>
  <c r="AB24" i="10"/>
  <c r="F56" i="1"/>
  <c r="Y56" i="1" s="1"/>
  <c r="AB50" i="10"/>
  <c r="AB65" i="10"/>
  <c r="AM21" i="10"/>
  <c r="D12" i="1"/>
  <c r="D11" i="1" s="1"/>
  <c r="AA14" i="1"/>
  <c r="G40" i="10"/>
  <c r="AD59" i="10"/>
  <c r="AB65" i="1"/>
  <c r="AG65" i="10"/>
  <c r="AK46" i="1"/>
  <c r="AE42" i="10"/>
  <c r="T40" i="10"/>
  <c r="AI59" i="1"/>
  <c r="AC24" i="10"/>
  <c r="Z46" i="1"/>
  <c r="X24" i="10"/>
  <c r="Y61" i="10"/>
  <c r="AL50" i="10"/>
  <c r="X61" i="1"/>
  <c r="Y14" i="1"/>
  <c r="AE56" i="10"/>
  <c r="AI17" i="10"/>
  <c r="L12" i="1"/>
  <c r="L11" i="1" s="1"/>
  <c r="L9" i="1" s="1"/>
  <c r="AC21" i="10"/>
  <c r="E40" i="10"/>
  <c r="X40" i="10" s="1"/>
  <c r="AH24" i="10"/>
  <c r="K40" i="1"/>
  <c r="K36" i="1" s="1"/>
  <c r="K38" i="1" s="1"/>
  <c r="Y50" i="1"/>
  <c r="AN14" i="1"/>
  <c r="AJ21" i="1"/>
  <c r="R40" i="1"/>
  <c r="Z50" i="10"/>
  <c r="AA65" i="10"/>
  <c r="AE46" i="10"/>
  <c r="AL17" i="10"/>
  <c r="AE42" i="1"/>
  <c r="AI56" i="1"/>
  <c r="AC59" i="1"/>
  <c r="AF17" i="1"/>
  <c r="AG21" i="1"/>
  <c r="AH42" i="1"/>
  <c r="AC46" i="10"/>
  <c r="AJ59" i="10"/>
  <c r="Z42" i="10"/>
  <c r="AJ65" i="10"/>
  <c r="AH50" i="1"/>
  <c r="H40" i="10"/>
  <c r="H36" i="10" s="1"/>
  <c r="S56" i="1"/>
  <c r="AL56" i="1" s="1"/>
  <c r="AI46" i="10"/>
  <c r="E12" i="1"/>
  <c r="E11" i="1" s="1"/>
  <c r="W24" i="10"/>
  <c r="AC65" i="10"/>
  <c r="AL65" i="10"/>
  <c r="Z50" i="1"/>
  <c r="AI50" i="10"/>
  <c r="I40" i="10"/>
  <c r="AI50" i="1"/>
  <c r="C40" i="1"/>
  <c r="C36" i="1" s="1"/>
  <c r="C38" i="1" s="1"/>
  <c r="C69" i="1" s="1"/>
  <c r="C70" i="1" s="1"/>
  <c r="AA42" i="1"/>
  <c r="AF14" i="1"/>
  <c r="Z65" i="10"/>
  <c r="AC14" i="10"/>
  <c r="AA50" i="1"/>
  <c r="AB14" i="10"/>
  <c r="I56" i="1"/>
  <c r="AC56" i="1" s="1"/>
  <c r="AD24" i="10"/>
  <c r="AI42" i="1"/>
  <c r="AI59" i="10"/>
  <c r="AD42" i="10"/>
  <c r="AD46" i="10"/>
  <c r="AE50" i="10"/>
  <c r="O40" i="1"/>
  <c r="AK14" i="10"/>
  <c r="AL46" i="10"/>
  <c r="S12" i="10"/>
  <c r="S11" i="10" s="1"/>
  <c r="AG65" i="1"/>
  <c r="Y17" i="10"/>
  <c r="X17" i="1"/>
  <c r="F59" i="10"/>
  <c r="F56" i="10" s="1"/>
  <c r="AB21" i="1"/>
  <c r="AF14" i="10"/>
  <c r="W42" i="1"/>
  <c r="AC46" i="1"/>
  <c r="Y24" i="10"/>
  <c r="AA14" i="10"/>
  <c r="Q12" i="1"/>
  <c r="Q11" i="1" s="1"/>
  <c r="Q9" i="1" s="1"/>
  <c r="Z14" i="1"/>
  <c r="AE65" i="1"/>
  <c r="AN17" i="10"/>
  <c r="AJ50" i="10"/>
  <c r="AF50" i="1"/>
  <c r="AD50" i="10"/>
  <c r="AE59" i="10"/>
  <c r="AM14" i="1"/>
  <c r="AM42" i="10"/>
  <c r="AK17" i="1"/>
  <c r="Z17" i="10"/>
  <c r="AC50" i="1"/>
  <c r="AD56" i="10"/>
  <c r="D50" i="1"/>
  <c r="D40" i="1" s="1"/>
  <c r="D36" i="1" s="1"/>
  <c r="F12" i="1"/>
  <c r="F11" i="1" s="1"/>
  <c r="AJ14" i="1"/>
  <c r="AA24" i="1"/>
  <c r="AB46" i="1"/>
  <c r="F40" i="10"/>
  <c r="AD65" i="10"/>
  <c r="AL59" i="10"/>
  <c r="AN46" i="1"/>
  <c r="AJ24" i="1"/>
  <c r="W61" i="1"/>
  <c r="AB59" i="1"/>
  <c r="AA61" i="10"/>
  <c r="AL42" i="1"/>
  <c r="AN50" i="1"/>
  <c r="AH42" i="10"/>
  <c r="W46" i="10"/>
  <c r="AJ17" i="10"/>
  <c r="AM50" i="1"/>
  <c r="AN21" i="10"/>
  <c r="AO14" i="10"/>
  <c r="X42" i="1"/>
  <c r="Y46" i="1"/>
  <c r="X46" i="1"/>
  <c r="AD42" i="1"/>
  <c r="AB14" i="1"/>
  <c r="AK21" i="10"/>
  <c r="AJ50" i="1"/>
  <c r="Y42" i="1"/>
  <c r="AA46" i="1"/>
  <c r="W21" i="10"/>
  <c r="N40" i="10"/>
  <c r="N36" i="10" s="1"/>
  <c r="P12" i="10"/>
  <c r="AI12" i="10" s="1"/>
  <c r="X46" i="10"/>
  <c r="AF59" i="10"/>
  <c r="AJ42" i="10"/>
  <c r="X21" i="1"/>
  <c r="Y24" i="1"/>
  <c r="AC17" i="1"/>
  <c r="AF42" i="1"/>
  <c r="G12" i="10"/>
  <c r="G11" i="10" s="1"/>
  <c r="AD21" i="10"/>
  <c r="AF24" i="10"/>
  <c r="R12" i="10"/>
  <c r="R11" i="10" s="1"/>
  <c r="R9" i="10" s="1"/>
  <c r="AN46" i="10"/>
  <c r="AK65" i="1"/>
  <c r="U12" i="1"/>
  <c r="U11" i="1" s="1"/>
  <c r="W46" i="1"/>
  <c r="AC21" i="1"/>
  <c r="AD24" i="1"/>
  <c r="M40" i="1"/>
  <c r="AG59" i="1"/>
  <c r="Z14" i="10"/>
  <c r="AH65" i="10"/>
  <c r="AN50" i="10"/>
  <c r="AO24" i="10"/>
  <c r="G56" i="10"/>
  <c r="Q40" i="10"/>
  <c r="AJ42" i="1"/>
  <c r="AI24" i="1"/>
  <c r="AB50" i="1"/>
  <c r="AD65" i="1"/>
  <c r="AE59" i="1"/>
  <c r="W42" i="10"/>
  <c r="X61" i="10"/>
  <c r="J12" i="10"/>
  <c r="J11" i="10" s="1"/>
  <c r="AF50" i="10"/>
  <c r="AH46" i="10"/>
  <c r="AN65" i="1"/>
  <c r="AJ46" i="1"/>
  <c r="Z42" i="1"/>
  <c r="AN24" i="10"/>
  <c r="AK50" i="10"/>
  <c r="Q40" i="1"/>
  <c r="P40" i="1"/>
  <c r="P36" i="1" s="1"/>
  <c r="P38" i="1" s="1"/>
  <c r="AJ46" i="10"/>
  <c r="AH14" i="1"/>
  <c r="X50" i="10"/>
  <c r="Z24" i="10"/>
  <c r="AF65" i="10"/>
  <c r="AK50" i="1"/>
  <c r="R56" i="10"/>
  <c r="AM24" i="10"/>
  <c r="AO17" i="10"/>
  <c r="AD14" i="1"/>
  <c r="M12" i="1"/>
  <c r="H12" i="10"/>
  <c r="H11" i="10" s="1"/>
  <c r="I12" i="10"/>
  <c r="AE14" i="10"/>
  <c r="AL14" i="10"/>
  <c r="AO21" i="10"/>
  <c r="J36" i="10"/>
  <c r="J38" i="10" s="1"/>
  <c r="Q56" i="10"/>
  <c r="AJ56" i="10" s="1"/>
  <c r="Q56" i="1"/>
  <c r="AJ56" i="1" s="1"/>
  <c r="J12" i="1"/>
  <c r="AG17" i="1"/>
  <c r="AH21" i="1"/>
  <c r="C40" i="10"/>
  <c r="C36" i="10" s="1"/>
  <c r="C38" i="10" s="1"/>
  <c r="E12" i="10"/>
  <c r="AA21" i="10"/>
  <c r="AB21" i="10"/>
  <c r="AG14" i="10"/>
  <c r="AN17" i="1"/>
  <c r="AO17" i="1"/>
  <c r="AI14" i="10"/>
  <c r="AL42" i="10"/>
  <c r="AM50" i="10"/>
  <c r="AN21" i="1"/>
  <c r="AO42" i="10"/>
  <c r="AJ14" i="10"/>
  <c r="X21" i="10"/>
  <c r="AL17" i="1"/>
  <c r="AM65" i="1"/>
  <c r="AM42" i="1"/>
  <c r="AM56" i="10"/>
  <c r="AO50" i="1"/>
  <c r="AK59" i="1"/>
  <c r="AK17" i="10"/>
  <c r="AH56" i="1"/>
  <c r="AG46" i="1"/>
  <c r="C12" i="10"/>
  <c r="C11" i="10" s="1"/>
  <c r="C9" i="10" s="1"/>
  <c r="AA17" i="1"/>
  <c r="AC24" i="1"/>
  <c r="AG42" i="1"/>
  <c r="AH46" i="1"/>
  <c r="AB42" i="10"/>
  <c r="AE17" i="10"/>
  <c r="M12" i="10"/>
  <c r="M11" i="10" s="1"/>
  <c r="AH17" i="10"/>
  <c r="AL21" i="1"/>
  <c r="AM46" i="1"/>
  <c r="AN59" i="10"/>
  <c r="AN42" i="1"/>
  <c r="AO50" i="10"/>
  <c r="AO46" i="1"/>
  <c r="AA21" i="1"/>
  <c r="I12" i="1"/>
  <c r="I11" i="1" s="1"/>
  <c r="AC42" i="1"/>
  <c r="D12" i="10"/>
  <c r="D11" i="10" s="1"/>
  <c r="Z61" i="10"/>
  <c r="AE21" i="10"/>
  <c r="AL21" i="10"/>
  <c r="AN65" i="10"/>
  <c r="AO56" i="10"/>
  <c r="AJ17" i="1"/>
  <c r="AI56" i="10"/>
  <c r="W21" i="1"/>
  <c r="X14" i="1"/>
  <c r="Z17" i="1"/>
  <c r="AF46" i="1"/>
  <c r="AH59" i="1"/>
  <c r="AE24" i="10"/>
  <c r="AG42" i="10"/>
  <c r="AO65" i="10"/>
  <c r="AB42" i="1"/>
  <c r="AB59" i="10"/>
  <c r="AO14" i="1"/>
  <c r="AF56" i="10"/>
  <c r="Z21" i="1"/>
  <c r="G12" i="1"/>
  <c r="G11" i="1" s="1"/>
  <c r="E59" i="10"/>
  <c r="X59" i="10" s="1"/>
  <c r="AG46" i="10"/>
  <c r="AG50" i="10"/>
  <c r="O40" i="10"/>
  <c r="AK24" i="1"/>
  <c r="S40" i="1"/>
  <c r="T12" i="10"/>
  <c r="T11" i="10" s="1"/>
  <c r="AN42" i="10"/>
  <c r="AN59" i="1"/>
  <c r="AO65" i="1"/>
  <c r="V36" i="1"/>
  <c r="AO40" i="1"/>
  <c r="V11" i="1"/>
  <c r="AO59" i="10"/>
  <c r="V40" i="10"/>
  <c r="AO46" i="10"/>
  <c r="AN56" i="1"/>
  <c r="AD56" i="1"/>
  <c r="F9" i="1"/>
  <c r="W56" i="1"/>
  <c r="X56" i="1"/>
  <c r="AA59" i="1"/>
  <c r="R36" i="1"/>
  <c r="G56" i="1"/>
  <c r="Z59" i="1"/>
  <c r="D9" i="1"/>
  <c r="W11" i="1"/>
  <c r="AM59" i="1"/>
  <c r="R12" i="1"/>
  <c r="AL24" i="1"/>
  <c r="Z61" i="1"/>
  <c r="AA27" i="1"/>
  <c r="H12" i="1"/>
  <c r="H56" i="1"/>
  <c r="K12" i="1"/>
  <c r="AE12" i="1" s="1"/>
  <c r="L56" i="1"/>
  <c r="AE56" i="1" s="1"/>
  <c r="AE14" i="1"/>
  <c r="U36" i="1"/>
  <c r="AD17" i="1"/>
  <c r="O12" i="1"/>
  <c r="N12" i="1"/>
  <c r="T12" i="1"/>
  <c r="X59" i="1"/>
  <c r="AE50" i="1"/>
  <c r="AI21" i="1"/>
  <c r="L40" i="1"/>
  <c r="W12" i="1"/>
  <c r="AA61" i="1"/>
  <c r="H40" i="1"/>
  <c r="X24" i="1"/>
  <c r="AH17" i="1"/>
  <c r="AF59" i="1"/>
  <c r="P12" i="1"/>
  <c r="Z24" i="1"/>
  <c r="W59" i="1"/>
  <c r="S12" i="1"/>
  <c r="AM17" i="1"/>
  <c r="V12" i="10"/>
  <c r="AN56" i="10"/>
  <c r="AB40" i="10"/>
  <c r="AG56" i="10"/>
  <c r="AH56" i="10"/>
  <c r="W59" i="10"/>
  <c r="D56" i="10"/>
  <c r="W56" i="10" s="1"/>
  <c r="AM14" i="10"/>
  <c r="AM17" i="10"/>
  <c r="AM59" i="10"/>
  <c r="AA59" i="10"/>
  <c r="P40" i="10"/>
  <c r="AK42" i="10"/>
  <c r="W17" i="10"/>
  <c r="AK65" i="10"/>
  <c r="Q12" i="10"/>
  <c r="N12" i="10"/>
  <c r="AH12" i="10" s="1"/>
  <c r="AH50" i="10"/>
  <c r="AH14" i="10"/>
  <c r="X14" i="10"/>
  <c r="AK59" i="10"/>
  <c r="AC17" i="10"/>
  <c r="X42" i="10"/>
  <c r="X17" i="10"/>
  <c r="AJ24" i="10"/>
  <c r="S36" i="10"/>
  <c r="K12" i="10"/>
  <c r="Y21" i="10"/>
  <c r="AC42" i="10"/>
  <c r="AF46" i="10"/>
  <c r="AA46" i="10"/>
  <c r="M40" i="10"/>
  <c r="AJ21" i="10"/>
  <c r="W61" i="10"/>
  <c r="L40" i="10"/>
  <c r="F12" i="10"/>
  <c r="AI42" i="10"/>
  <c r="L12" i="10"/>
  <c r="AC40" i="10"/>
  <c r="W50" i="10"/>
  <c r="I56" i="10"/>
  <c r="AF21" i="10"/>
  <c r="AA17" i="10"/>
  <c r="K40" i="10"/>
  <c r="Y14" i="10"/>
  <c r="Y50" i="10"/>
  <c r="Z21" i="10"/>
  <c r="Y46" i="10"/>
  <c r="AH59" i="10"/>
  <c r="AB17" i="10"/>
  <c r="Z27" i="10"/>
  <c r="U9" i="10"/>
  <c r="AG59" i="10"/>
  <c r="AH40" i="1" l="1"/>
  <c r="F36" i="1"/>
  <c r="AK40" i="10"/>
  <c r="Y40" i="1"/>
  <c r="X11" i="1"/>
  <c r="G36" i="10"/>
  <c r="G38" i="10" s="1"/>
  <c r="Z40" i="1"/>
  <c r="T36" i="1"/>
  <c r="AN36" i="1" s="1"/>
  <c r="AG40" i="1"/>
  <c r="I36" i="10"/>
  <c r="AC36" i="10" s="1"/>
  <c r="AL40" i="1"/>
  <c r="I36" i="1"/>
  <c r="AC36" i="1" s="1"/>
  <c r="AO40" i="10"/>
  <c r="Y12" i="1"/>
  <c r="Z12" i="1"/>
  <c r="M36" i="1"/>
  <c r="AG36" i="1" s="1"/>
  <c r="AC12" i="10"/>
  <c r="AN40" i="10"/>
  <c r="Z40" i="10"/>
  <c r="AC12" i="1"/>
  <c r="E9" i="1"/>
  <c r="X9" i="1" s="1"/>
  <c r="AD40" i="1"/>
  <c r="T36" i="10"/>
  <c r="AN36" i="10" s="1"/>
  <c r="AA40" i="10"/>
  <c r="Y11" i="1"/>
  <c r="Y59" i="10"/>
  <c r="AM40" i="10"/>
  <c r="X12" i="1"/>
  <c r="E56" i="10"/>
  <c r="E36" i="10" s="1"/>
  <c r="AF12" i="1"/>
  <c r="O36" i="1"/>
  <c r="Y40" i="10"/>
  <c r="F36" i="10"/>
  <c r="F38" i="10" s="1"/>
  <c r="AM56" i="1"/>
  <c r="Z59" i="10"/>
  <c r="X12" i="10"/>
  <c r="AD36" i="1"/>
  <c r="AL12" i="10"/>
  <c r="Z12" i="10"/>
  <c r="AF40" i="1"/>
  <c r="AJ12" i="1"/>
  <c r="X36" i="1"/>
  <c r="AB12" i="10"/>
  <c r="AH40" i="10"/>
  <c r="AG40" i="10"/>
  <c r="W11" i="10"/>
  <c r="E11" i="10"/>
  <c r="X11" i="10" s="1"/>
  <c r="AK56" i="1"/>
  <c r="C69" i="10"/>
  <c r="C70" i="10" s="1"/>
  <c r="AA12" i="10"/>
  <c r="AJ40" i="1"/>
  <c r="AA56" i="1"/>
  <c r="W12" i="10"/>
  <c r="M11" i="1"/>
  <c r="AF11" i="1" s="1"/>
  <c r="AO12" i="1"/>
  <c r="D36" i="10"/>
  <c r="W36" i="10" s="1"/>
  <c r="AK56" i="10"/>
  <c r="AA56" i="10"/>
  <c r="W40" i="10"/>
  <c r="W40" i="1"/>
  <c r="AK40" i="1"/>
  <c r="P11" i="10"/>
  <c r="AI11" i="10" s="1"/>
  <c r="AI40" i="1"/>
  <c r="Z56" i="10"/>
  <c r="J11" i="1"/>
  <c r="J9" i="1" s="1"/>
  <c r="I11" i="10"/>
  <c r="AC11" i="10" s="1"/>
  <c r="X50" i="1"/>
  <c r="W50" i="1"/>
  <c r="AL56" i="10"/>
  <c r="O36" i="10"/>
  <c r="O71" i="10" s="1"/>
  <c r="O72" i="10" s="1"/>
  <c r="Q36" i="1"/>
  <c r="AK36" i="1" s="1"/>
  <c r="R36" i="10"/>
  <c r="AL36" i="10" s="1"/>
  <c r="AM40" i="1"/>
  <c r="AF12" i="10"/>
  <c r="AM12" i="10"/>
  <c r="X40" i="1"/>
  <c r="S36" i="1"/>
  <c r="AL36" i="1" s="1"/>
  <c r="Q36" i="10"/>
  <c r="Q38" i="10" s="1"/>
  <c r="AN12" i="10"/>
  <c r="AF56" i="1"/>
  <c r="V38" i="1"/>
  <c r="AO36" i="1"/>
  <c r="V9" i="1"/>
  <c r="AO11" i="1"/>
  <c r="V36" i="10"/>
  <c r="V38" i="10" s="1"/>
  <c r="V11" i="10"/>
  <c r="AO12" i="10"/>
  <c r="T38" i="1"/>
  <c r="I9" i="1"/>
  <c r="AM12" i="1"/>
  <c r="T11" i="1"/>
  <c r="AH12" i="1"/>
  <c r="O11" i="1"/>
  <c r="Z56" i="1"/>
  <c r="G36" i="1"/>
  <c r="AN12" i="1"/>
  <c r="R11" i="1"/>
  <c r="AK12" i="1"/>
  <c r="AB56" i="1"/>
  <c r="H36" i="1"/>
  <c r="AA40" i="1"/>
  <c r="AD38" i="1"/>
  <c r="W36" i="1"/>
  <c r="D38" i="1"/>
  <c r="W38" i="1" s="1"/>
  <c r="Z11" i="1"/>
  <c r="G9" i="1"/>
  <c r="AB40" i="1"/>
  <c r="U38" i="1"/>
  <c r="R38" i="1"/>
  <c r="H11" i="1"/>
  <c r="AB11" i="1" s="1"/>
  <c r="AA12" i="1"/>
  <c r="P11" i="1"/>
  <c r="AI12" i="1"/>
  <c r="U9" i="1"/>
  <c r="C71" i="1"/>
  <c r="C72" i="1" s="1"/>
  <c r="AD12" i="1"/>
  <c r="K11" i="1"/>
  <c r="Y36" i="1"/>
  <c r="F38" i="1"/>
  <c r="Y38" i="1" s="1"/>
  <c r="AG12" i="1"/>
  <c r="N11" i="1"/>
  <c r="AL12" i="1"/>
  <c r="S11" i="1"/>
  <c r="L36" i="1"/>
  <c r="AE40" i="1"/>
  <c r="AB12" i="1"/>
  <c r="W9" i="1"/>
  <c r="D71" i="1"/>
  <c r="F71" i="1"/>
  <c r="S38" i="10"/>
  <c r="AM11" i="10"/>
  <c r="T9" i="10"/>
  <c r="AN9" i="10" s="1"/>
  <c r="G9" i="10"/>
  <c r="D9" i="10"/>
  <c r="L36" i="10"/>
  <c r="AE40" i="10"/>
  <c r="AJ12" i="10"/>
  <c r="AK12" i="10"/>
  <c r="Q11" i="10"/>
  <c r="M36" i="10"/>
  <c r="AG36" i="10" s="1"/>
  <c r="AF40" i="10"/>
  <c r="P36" i="10"/>
  <c r="AI40" i="10"/>
  <c r="F11" i="10"/>
  <c r="Z11" i="10" s="1"/>
  <c r="Y12" i="10"/>
  <c r="N11" i="10"/>
  <c r="AG12" i="10"/>
  <c r="AB36" i="10"/>
  <c r="I38" i="10"/>
  <c r="AC38" i="10" s="1"/>
  <c r="AC56" i="10"/>
  <c r="AB56" i="10"/>
  <c r="U38" i="10"/>
  <c r="U69" i="10" s="1"/>
  <c r="AD12" i="10"/>
  <c r="K11" i="10"/>
  <c r="M9" i="10"/>
  <c r="AL11" i="10"/>
  <c r="S9" i="10"/>
  <c r="N38" i="10"/>
  <c r="U71" i="10"/>
  <c r="AA36" i="10"/>
  <c r="H38" i="10"/>
  <c r="AA38" i="10" s="1"/>
  <c r="AN11" i="10"/>
  <c r="C71" i="10"/>
  <c r="C72" i="10" s="1"/>
  <c r="Y56" i="10"/>
  <c r="AD40" i="10"/>
  <c r="K36" i="10"/>
  <c r="H9" i="10"/>
  <c r="AA11" i="10"/>
  <c r="AJ40" i="10"/>
  <c r="L11" i="10"/>
  <c r="AE12" i="10"/>
  <c r="J9" i="10"/>
  <c r="Z36" i="10" l="1"/>
  <c r="M38" i="1"/>
  <c r="I38" i="1"/>
  <c r="AC38" i="1" s="1"/>
  <c r="T38" i="10"/>
  <c r="AM36" i="10"/>
  <c r="I9" i="10"/>
  <c r="I71" i="10" s="1"/>
  <c r="AC11" i="1"/>
  <c r="X56" i="10"/>
  <c r="AF36" i="1"/>
  <c r="M9" i="1"/>
  <c r="Y36" i="10"/>
  <c r="E71" i="1"/>
  <c r="E72" i="1" s="1"/>
  <c r="Y9" i="1"/>
  <c r="E69" i="1"/>
  <c r="X38" i="1"/>
  <c r="E9" i="10"/>
  <c r="E71" i="10" s="1"/>
  <c r="AH36" i="1"/>
  <c r="AI36" i="1"/>
  <c r="O38" i="1"/>
  <c r="AH36" i="10"/>
  <c r="AB11" i="10"/>
  <c r="O38" i="10"/>
  <c r="AH38" i="10" s="1"/>
  <c r="D38" i="10"/>
  <c r="W38" i="10" s="1"/>
  <c r="AM38" i="10"/>
  <c r="AN38" i="1"/>
  <c r="AO38" i="10"/>
  <c r="P9" i="10"/>
  <c r="AI9" i="10" s="1"/>
  <c r="Q38" i="1"/>
  <c r="AK38" i="1" s="1"/>
  <c r="AJ36" i="1"/>
  <c r="R38" i="10"/>
  <c r="AK36" i="10"/>
  <c r="R71" i="10"/>
  <c r="R72" i="10" s="1"/>
  <c r="AM36" i="1"/>
  <c r="S38" i="1"/>
  <c r="AL38" i="1" s="1"/>
  <c r="AO38" i="1"/>
  <c r="F69" i="1"/>
  <c r="F70" i="1" s="1"/>
  <c r="Q71" i="1"/>
  <c r="Q72" i="1" s="1"/>
  <c r="AO9" i="1"/>
  <c r="V69" i="1"/>
  <c r="V71" i="1"/>
  <c r="AO36" i="10"/>
  <c r="V9" i="10"/>
  <c r="AO11" i="10"/>
  <c r="H38" i="1"/>
  <c r="AA36" i="1"/>
  <c r="AB36" i="1"/>
  <c r="AD11" i="1"/>
  <c r="K9" i="1"/>
  <c r="AE11" i="1"/>
  <c r="E70" i="1"/>
  <c r="T9" i="1"/>
  <c r="AN9" i="1" s="1"/>
  <c r="AM11" i="1"/>
  <c r="AE36" i="1"/>
  <c r="L38" i="1"/>
  <c r="L71" i="1"/>
  <c r="AG11" i="1"/>
  <c r="N9" i="1"/>
  <c r="AN11" i="1"/>
  <c r="R9" i="1"/>
  <c r="AK11" i="1"/>
  <c r="F72" i="1"/>
  <c r="AI11" i="1"/>
  <c r="P9" i="1"/>
  <c r="AJ11" i="1"/>
  <c r="I71" i="1"/>
  <c r="I69" i="1"/>
  <c r="O9" i="1"/>
  <c r="AH11" i="1"/>
  <c r="U69" i="1"/>
  <c r="U71" i="1"/>
  <c r="M71" i="1"/>
  <c r="AF9" i="1"/>
  <c r="M69" i="1"/>
  <c r="S9" i="1"/>
  <c r="AL11" i="1"/>
  <c r="D72" i="1"/>
  <c r="W71" i="1"/>
  <c r="D69" i="1"/>
  <c r="AG38" i="1"/>
  <c r="J69" i="1"/>
  <c r="AC9" i="1"/>
  <c r="J71" i="1"/>
  <c r="Z9" i="1"/>
  <c r="G71" i="1"/>
  <c r="H9" i="1"/>
  <c r="AB9" i="1" s="1"/>
  <c r="AA11" i="1"/>
  <c r="Z36" i="1"/>
  <c r="G38" i="1"/>
  <c r="Z38" i="1" s="1"/>
  <c r="L9" i="10"/>
  <c r="AF9" i="10" s="1"/>
  <c r="AE11" i="10"/>
  <c r="L38" i="10"/>
  <c r="AE36" i="10"/>
  <c r="M71" i="10"/>
  <c r="AB38" i="10"/>
  <c r="G69" i="10"/>
  <c r="G71" i="10"/>
  <c r="D71" i="10"/>
  <c r="W9" i="10"/>
  <c r="H69" i="10"/>
  <c r="AA9" i="10"/>
  <c r="H71" i="10"/>
  <c r="AL9" i="10"/>
  <c r="S69" i="10"/>
  <c r="S71" i="10"/>
  <c r="Z38" i="10"/>
  <c r="P38" i="10"/>
  <c r="AI36" i="10"/>
  <c r="AJ36" i="10"/>
  <c r="U72" i="10"/>
  <c r="AF36" i="10"/>
  <c r="M38" i="10"/>
  <c r="AM9" i="10"/>
  <c r="T69" i="10"/>
  <c r="AN69" i="10" s="1"/>
  <c r="T71" i="10"/>
  <c r="AF11" i="10"/>
  <c r="U70" i="10"/>
  <c r="K9" i="10"/>
  <c r="AD11" i="10"/>
  <c r="F9" i="10"/>
  <c r="Z9" i="10" s="1"/>
  <c r="Y11" i="10"/>
  <c r="AD36" i="10"/>
  <c r="K38" i="10"/>
  <c r="AD38" i="10" s="1"/>
  <c r="AB9" i="10"/>
  <c r="I69" i="10"/>
  <c r="J69" i="10"/>
  <c r="J71" i="10"/>
  <c r="AC9" i="10"/>
  <c r="E38" i="10"/>
  <c r="X36" i="10"/>
  <c r="AN38" i="10"/>
  <c r="N9" i="10"/>
  <c r="AG11" i="10"/>
  <c r="AH11" i="10"/>
  <c r="Q9" i="10"/>
  <c r="AJ11" i="10"/>
  <c r="AK11" i="10"/>
  <c r="Y71" i="1" l="1"/>
  <c r="X71" i="1"/>
  <c r="X9" i="10"/>
  <c r="O69" i="10"/>
  <c r="O70" i="10" s="1"/>
  <c r="P71" i="10"/>
  <c r="AI71" i="10" s="1"/>
  <c r="AH38" i="1"/>
  <c r="AI38" i="1"/>
  <c r="D69" i="10"/>
  <c r="D70" i="10" s="1"/>
  <c r="X38" i="10"/>
  <c r="Q69" i="1"/>
  <c r="Q70" i="1" s="1"/>
  <c r="AJ38" i="1"/>
  <c r="AF38" i="10"/>
  <c r="P69" i="10"/>
  <c r="AG38" i="10"/>
  <c r="Y69" i="1"/>
  <c r="AM38" i="1"/>
  <c r="AK38" i="10"/>
  <c r="R69" i="10"/>
  <c r="R70" i="10" s="1"/>
  <c r="AL38" i="10"/>
  <c r="V72" i="1"/>
  <c r="AO71" i="1"/>
  <c r="V70" i="1"/>
  <c r="AO69" i="1"/>
  <c r="AO9" i="10"/>
  <c r="V71" i="10"/>
  <c r="V69" i="10"/>
  <c r="AE38" i="1"/>
  <c r="L69" i="1"/>
  <c r="AF69" i="1" s="1"/>
  <c r="M70" i="1"/>
  <c r="D70" i="1"/>
  <c r="W69" i="1"/>
  <c r="AF71" i="1"/>
  <c r="M72" i="1"/>
  <c r="H71" i="1"/>
  <c r="AB71" i="1" s="1"/>
  <c r="H69" i="1"/>
  <c r="AA9" i="1"/>
  <c r="X69" i="1"/>
  <c r="G72" i="1"/>
  <c r="Z71" i="1"/>
  <c r="U70" i="1"/>
  <c r="AK9" i="1"/>
  <c r="R69" i="1"/>
  <c r="R71" i="1"/>
  <c r="AD9" i="1"/>
  <c r="K71" i="1"/>
  <c r="AE71" i="1" s="1"/>
  <c r="K69" i="1"/>
  <c r="AE9" i="1"/>
  <c r="J72" i="1"/>
  <c r="AC71" i="1"/>
  <c r="AF38" i="1"/>
  <c r="AI9" i="1"/>
  <c r="AJ9" i="1"/>
  <c r="P71" i="1"/>
  <c r="P69" i="1"/>
  <c r="G69" i="1"/>
  <c r="O71" i="1"/>
  <c r="AH9" i="1"/>
  <c r="O69" i="1"/>
  <c r="T71" i="1"/>
  <c r="AN71" i="1" s="1"/>
  <c r="T69" i="1"/>
  <c r="AN69" i="1" s="1"/>
  <c r="AM9" i="1"/>
  <c r="U72" i="1"/>
  <c r="AL9" i="1"/>
  <c r="S69" i="1"/>
  <c r="S71" i="1"/>
  <c r="N69" i="1"/>
  <c r="N71" i="1"/>
  <c r="AG9" i="1"/>
  <c r="AC69" i="1"/>
  <c r="J70" i="1"/>
  <c r="I70" i="1"/>
  <c r="I72" i="1"/>
  <c r="L72" i="1"/>
  <c r="AA38" i="1"/>
  <c r="AB38" i="1"/>
  <c r="Y38" i="10"/>
  <c r="N71" i="10"/>
  <c r="N69" i="10"/>
  <c r="AG9" i="10"/>
  <c r="AH9" i="10"/>
  <c r="AD9" i="10"/>
  <c r="K69" i="10"/>
  <c r="K71" i="10"/>
  <c r="L71" i="10"/>
  <c r="AF71" i="10" s="1"/>
  <c r="AE9" i="10"/>
  <c r="L69" i="10"/>
  <c r="G72" i="10"/>
  <c r="T70" i="10"/>
  <c r="AM69" i="10"/>
  <c r="AC71" i="10"/>
  <c r="J72" i="10"/>
  <c r="M72" i="10"/>
  <c r="AA71" i="10"/>
  <c r="H72" i="10"/>
  <c r="M69" i="10"/>
  <c r="W71" i="10"/>
  <c r="D72" i="10"/>
  <c r="G70" i="10"/>
  <c r="S72" i="10"/>
  <c r="AL71" i="10"/>
  <c r="E69" i="10"/>
  <c r="AJ9" i="10"/>
  <c r="Q71" i="10"/>
  <c r="Q69" i="10"/>
  <c r="AK9" i="10"/>
  <c r="E72" i="10"/>
  <c r="X71" i="10"/>
  <c r="Y9" i="10"/>
  <c r="F69" i="10"/>
  <c r="Z69" i="10" s="1"/>
  <c r="F71" i="10"/>
  <c r="AB71" i="10"/>
  <c r="I72" i="10"/>
  <c r="AI38" i="10"/>
  <c r="AJ38" i="10"/>
  <c r="AM71" i="10"/>
  <c r="T72" i="10"/>
  <c r="AC69" i="10"/>
  <c r="J70" i="10"/>
  <c r="S70" i="10"/>
  <c r="AN71" i="10"/>
  <c r="I70" i="10"/>
  <c r="AB69" i="10"/>
  <c r="AA69" i="10"/>
  <c r="H70" i="10"/>
  <c r="AE38" i="10"/>
  <c r="P72" i="10" l="1"/>
  <c r="AI69" i="10"/>
  <c r="AH69" i="10"/>
  <c r="AL69" i="10"/>
  <c r="W69" i="10"/>
  <c r="P70" i="10"/>
  <c r="V70" i="10"/>
  <c r="AO69" i="10"/>
  <c r="V72" i="10"/>
  <c r="AO71" i="10"/>
  <c r="O70" i="1"/>
  <c r="AH69" i="1"/>
  <c r="K70" i="1"/>
  <c r="AD69" i="1"/>
  <c r="H70" i="1"/>
  <c r="AA69" i="1"/>
  <c r="N72" i="1"/>
  <c r="AG71" i="1"/>
  <c r="G70" i="1"/>
  <c r="Z69" i="1"/>
  <c r="P70" i="1"/>
  <c r="AI69" i="1"/>
  <c r="P72" i="1"/>
  <c r="AI71" i="1"/>
  <c r="AJ71" i="1"/>
  <c r="AH71" i="1"/>
  <c r="O72" i="1"/>
  <c r="N70" i="1"/>
  <c r="AG69" i="1"/>
  <c r="AJ69" i="1"/>
  <c r="AK71" i="1"/>
  <c r="R72" i="1"/>
  <c r="S72" i="1"/>
  <c r="AL71" i="1"/>
  <c r="R70" i="1"/>
  <c r="AK69" i="1"/>
  <c r="AL69" i="1"/>
  <c r="S70" i="1"/>
  <c r="H72" i="1"/>
  <c r="AA71" i="1"/>
  <c r="K72" i="1"/>
  <c r="AD71" i="1"/>
  <c r="AB69" i="1"/>
  <c r="T70" i="1"/>
  <c r="AM69" i="1"/>
  <c r="AE69" i="1"/>
  <c r="L70" i="1"/>
  <c r="AM71" i="1"/>
  <c r="T72" i="1"/>
  <c r="K72" i="10"/>
  <c r="AD71" i="10"/>
  <c r="F72" i="10"/>
  <c r="Y71" i="10"/>
  <c r="AG71" i="10"/>
  <c r="N72" i="10"/>
  <c r="AH71" i="10"/>
  <c r="X69" i="10"/>
  <c r="E70" i="10"/>
  <c r="F70" i="10"/>
  <c r="Y69" i="10"/>
  <c r="AG69" i="10"/>
  <c r="N70" i="10"/>
  <c r="Z71" i="10"/>
  <c r="AE69" i="10"/>
  <c r="L70" i="10"/>
  <c r="K70" i="10"/>
  <c r="AD69" i="10"/>
  <c r="AJ69" i="10"/>
  <c r="Q70" i="10"/>
  <c r="AK69" i="10"/>
  <c r="M70" i="10"/>
  <c r="AF69" i="10"/>
  <c r="Q72" i="10"/>
  <c r="AJ71" i="10"/>
  <c r="AK71" i="10"/>
  <c r="L72" i="10"/>
  <c r="AE71" i="10"/>
  <c r="V73" i="1" l="1"/>
</calcChain>
</file>

<file path=xl/sharedStrings.xml><?xml version="1.0" encoding="utf-8"?>
<sst xmlns="http://schemas.openxmlformats.org/spreadsheetml/2006/main" count="298" uniqueCount="142">
  <si>
    <t>CONCEPTO</t>
  </si>
  <si>
    <t>GASTOS CORRIENTES</t>
  </si>
  <si>
    <t xml:space="preserve">    Sueldos y Salarios</t>
  </si>
  <si>
    <t xml:space="preserve">         Deuda Interna</t>
  </si>
  <si>
    <t xml:space="preserve">         Deuda externa</t>
  </si>
  <si>
    <t xml:space="preserve">    Transferencias</t>
  </si>
  <si>
    <t xml:space="preserve">         Sector Privado </t>
  </si>
  <si>
    <t xml:space="preserve">         Sector Publico</t>
  </si>
  <si>
    <t xml:space="preserve">         Sector Externo</t>
  </si>
  <si>
    <t>GASTOS DE CAPITAL</t>
  </si>
  <si>
    <t xml:space="preserve">INGRESOS TOTALES </t>
  </si>
  <si>
    <t xml:space="preserve"> II- Ingresos de Capital:</t>
  </si>
  <si>
    <t>I-3  Ingresos no Tributarios</t>
  </si>
  <si>
    <t xml:space="preserve">    Inversion </t>
  </si>
  <si>
    <t>Transferencias ctes con recurso externo</t>
  </si>
  <si>
    <t>Transferencias capital con recurso externo</t>
  </si>
  <si>
    <t>Gasto Total sin Intereses</t>
  </si>
  <si>
    <t xml:space="preserve">    Intereses    </t>
  </si>
  <si>
    <t>1 - 3</t>
  </si>
  <si>
    <t>1 - 2</t>
  </si>
  <si>
    <t>VARIACION</t>
  </si>
  <si>
    <t>SUP/ DÉFICIT  FINANCIERO.</t>
  </si>
  <si>
    <t>DEF/SUPERÁVIT PRIMARIO</t>
  </si>
  <si>
    <t>Impuesto a los ingresos y utilidades</t>
  </si>
  <si>
    <t>Sobre importaciones</t>
  </si>
  <si>
    <t>Sobre exportaciones</t>
  </si>
  <si>
    <t>Ventas</t>
  </si>
  <si>
    <t>Interno</t>
  </si>
  <si>
    <t>Aduanas</t>
  </si>
  <si>
    <t>Consumo</t>
  </si>
  <si>
    <t>I-1  Ingresos Tributarios</t>
  </si>
  <si>
    <t>I-   Ingresos Corrientes</t>
  </si>
  <si>
    <t>Otros ingresos tributarios</t>
  </si>
  <si>
    <t>I-2 Contribuciones Sociales</t>
  </si>
  <si>
    <t>I-4  Transferencias</t>
  </si>
  <si>
    <t>Arancel:</t>
  </si>
  <si>
    <t>1% Valor Aduanero:</t>
  </si>
  <si>
    <t xml:space="preserve"> Por Caja Banano Exportada</t>
  </si>
  <si>
    <t>Der.de Exp.ad/valorem</t>
  </si>
  <si>
    <t>Transferencias con recurso externo</t>
  </si>
  <si>
    <t>FINANCIAMIENTO</t>
  </si>
  <si>
    <t>Remuneraciones</t>
  </si>
  <si>
    <t xml:space="preserve">   Interno Neto</t>
  </si>
  <si>
    <t xml:space="preserve">   Externo Neto</t>
  </si>
  <si>
    <t>en millones de colones</t>
  </si>
  <si>
    <t>INGRESO, GASTO Y FINANCIAMIENTO DEL GOBIERNO CENTRAL</t>
  </si>
  <si>
    <r>
      <rPr>
        <b/>
        <sz val="10"/>
        <rFont val="Arial"/>
        <family val="2"/>
      </rPr>
      <t xml:space="preserve">Fuente:  </t>
    </r>
    <r>
      <rPr>
        <sz val="10"/>
        <rFont val="Arial"/>
        <family val="2"/>
      </rPr>
      <t>Cuadro elaborado en la Secretaría Técnica de la Autoridad Presupuestaria, con información suministrada por la Contabilidad Nacional y la Dirección de Crédito Público.</t>
    </r>
  </si>
  <si>
    <t>Acumulado al mes de noviembre</t>
  </si>
  <si>
    <t>Mes de noviembre</t>
  </si>
  <si>
    <t xml:space="preserve"> Impuesto Exportaciones Vía Terrestre</t>
  </si>
  <si>
    <t>% PIB</t>
  </si>
  <si>
    <t>Concesión Neta de Préstamos</t>
  </si>
  <si>
    <t xml:space="preserve">Concesión </t>
  </si>
  <si>
    <t xml:space="preserve">Recuperación </t>
  </si>
  <si>
    <r>
      <t xml:space="preserve">    Transferencias </t>
    </r>
    <r>
      <rPr>
        <vertAlign val="superscript"/>
        <sz val="10"/>
        <rFont val="Arial"/>
        <family val="2"/>
      </rPr>
      <t>1/</t>
    </r>
  </si>
  <si>
    <t>GASTOS TOTALES Y CONCESIÓN NETA</t>
  </si>
  <si>
    <t xml:space="preserve">         Sector Publico </t>
  </si>
  <si>
    <t>06/07</t>
  </si>
  <si>
    <t>07/08</t>
  </si>
  <si>
    <t>08/09</t>
  </si>
  <si>
    <t>09/10</t>
  </si>
  <si>
    <t>10/11</t>
  </si>
  <si>
    <t>11/12</t>
  </si>
  <si>
    <t>12/13</t>
  </si>
  <si>
    <t>13/14</t>
  </si>
  <si>
    <t>14/15</t>
  </si>
  <si>
    <t>15/16</t>
  </si>
  <si>
    <t>16/17</t>
  </si>
  <si>
    <t>18/19</t>
  </si>
  <si>
    <t>19/20</t>
  </si>
  <si>
    <t>20/21</t>
  </si>
  <si>
    <t>21/22</t>
  </si>
  <si>
    <t>Otros Ingresos tributarios diversos internos</t>
  </si>
  <si>
    <t>Otros Ingresos tributarios diversos aduanas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</si>
  <si>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</si>
  <si>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22/23</t>
  </si>
  <si>
    <t xml:space="preserve"> </t>
  </si>
  <si>
    <t>23/24</t>
  </si>
  <si>
    <t>GOBIERNO CENTRAL DE COSTA RICA</t>
  </si>
  <si>
    <t>PRINCIPALES INGRESOS</t>
  </si>
  <si>
    <t>COMPARATIVOS MES NOVIEMBRE</t>
  </si>
  <si>
    <t>COMPARATIVOS ACUMULADO AL MES DE NOVIEMBRE</t>
  </si>
  <si>
    <t>(en millones de colones)</t>
  </si>
  <si>
    <t>Variacion</t>
  </si>
  <si>
    <t>INGRESOS TOTALES:</t>
  </si>
  <si>
    <t>Ingresos Corrientes:</t>
  </si>
  <si>
    <t>I-1 Ingresos Tributarios :</t>
  </si>
  <si>
    <t>I-1.1   Impuesto a los ingresos y utilidades</t>
  </si>
  <si>
    <t xml:space="preserve">       - Ingresos y Utilidades a Personas Físicas</t>
  </si>
  <si>
    <t xml:space="preserve">       - Ingresos y Utilidades a Personas Jurídicas</t>
  </si>
  <si>
    <t xml:space="preserve">       - Dividendos e Intereses s/ Títulos valores</t>
  </si>
  <si>
    <t xml:space="preserve">       - Remesas al Exterior</t>
  </si>
  <si>
    <t xml:space="preserve">       - Bancos y Entidades Financ no domiciliadas</t>
  </si>
  <si>
    <t xml:space="preserve">I-1.2   Impuestos a la propiedad </t>
  </si>
  <si>
    <t xml:space="preserve">            Propiedad de vehículos</t>
  </si>
  <si>
    <t xml:space="preserve">            Imp Solidario Vivienda</t>
  </si>
  <si>
    <t xml:space="preserve">            Imp. Sociedades Anónimas</t>
  </si>
  <si>
    <t>I-1.3  Sobre Importaciones :</t>
  </si>
  <si>
    <t xml:space="preserve">           I-1.3.1  Arancel:</t>
  </si>
  <si>
    <t xml:space="preserve">           I-1.3.2 1% Valor Aduanero:</t>
  </si>
  <si>
    <t>I-1.4  Sobre Exportaciones :</t>
  </si>
  <si>
    <t xml:space="preserve">           I-1.4.1  Por Caja Banano Exportada</t>
  </si>
  <si>
    <t xml:space="preserve">           I-1.4.2  Der.de Exp.ad/valorem</t>
  </si>
  <si>
    <t xml:space="preserve">           I-1.4.3  Imp Exp vía terrestre</t>
  </si>
  <si>
    <t xml:space="preserve">I-1.5  Ventas: </t>
  </si>
  <si>
    <t xml:space="preserve">           I-1.5.1  Interno</t>
  </si>
  <si>
    <t xml:space="preserve">           I-1.5.2  Aduanas:</t>
  </si>
  <si>
    <t xml:space="preserve">I-1.6  Consumo: </t>
  </si>
  <si>
    <t xml:space="preserve">           I-1.6.1  Interno</t>
  </si>
  <si>
    <t xml:space="preserve">           I-1.6.2  Aduanas:</t>
  </si>
  <si>
    <t>I-1.7  Otros Indirectos :</t>
  </si>
  <si>
    <t xml:space="preserve">    Impuesto unico combustibles</t>
  </si>
  <si>
    <t xml:space="preserve">        -Interno</t>
  </si>
  <si>
    <t xml:space="preserve">       - Importaciones</t>
  </si>
  <si>
    <t xml:space="preserve">    Impuesto bebidas no alcohólicas</t>
  </si>
  <si>
    <t xml:space="preserve">    Impuesto jabón de tocador</t>
  </si>
  <si>
    <t xml:space="preserve">    Impuesto bebidas alcohólicas</t>
  </si>
  <si>
    <t xml:space="preserve">    Imp.Prod.Tabaco </t>
  </si>
  <si>
    <t xml:space="preserve">    Traspaso vehículos usados</t>
  </si>
  <si>
    <t xml:space="preserve">    Traspaso bienes inmuebles</t>
  </si>
  <si>
    <t xml:space="preserve">    Timbre Fiscal</t>
  </si>
  <si>
    <t xml:space="preserve">    Derechos de Salida del Territorio Nacional</t>
  </si>
  <si>
    <t xml:space="preserve">    Derechos Consulares</t>
  </si>
  <si>
    <t xml:space="preserve">    Impuestos Ley de Migración y Extranjeria </t>
  </si>
  <si>
    <t xml:space="preserve">    Otros Ingresos Tributarios</t>
  </si>
  <si>
    <t xml:space="preserve">    Otros Ingresos tributarios diversos internos</t>
  </si>
  <si>
    <t xml:space="preserve">    Otros Ingresos tributarios diversos aduanas</t>
  </si>
  <si>
    <t>I-4 Transferencias</t>
  </si>
  <si>
    <t>II- Ingresos de Capital:</t>
  </si>
  <si>
    <t>17/18</t>
  </si>
  <si>
    <t>24/25</t>
  </si>
  <si>
    <t xml:space="preserve">Cifras acumuladas al mes de noviembre 2019 - 2025 </t>
  </si>
  <si>
    <t xml:space="preserve">1/ Según el PIB publicado por el Banco Central  cifras preliminares, proyección 2025-2027 utilizada en el informe de Política Monetaria  de octubre 2025, aprobado por la Junta Directiva en el artículo 6 del acta de la sesión 6289-2025, el 29 de octubre de 2025 </t>
  </si>
  <si>
    <t>2/ A partir de enero 2020 los egresos de las cargas sociales de los programas 327-328- 329 del Ministerio de Obras Públicas y Transportes (MOPT), se capitalizan, por lo que se incluyen en el rubro de inversión.</t>
  </si>
  <si>
    <t>3/ Los egresos de bienes y servicios del programa 797 de Ministerio de Comercio Exterior a partir de enero 2020 se capitalizan y se incluyen en el rubro de inversión.</t>
  </si>
  <si>
    <r>
      <t>PIB</t>
    </r>
    <r>
      <rPr>
        <vertAlign val="superscript"/>
        <sz val="10"/>
        <rFont val="Arial"/>
        <family val="2"/>
      </rPr>
      <t xml:space="preserve"> 1/</t>
    </r>
  </si>
  <si>
    <r>
      <t xml:space="preserve">    Bienes y Servicios</t>
    </r>
    <r>
      <rPr>
        <vertAlign val="superscript"/>
        <sz val="10"/>
        <rFont val="Arial"/>
        <family val="2"/>
      </rPr>
      <t>3/</t>
    </r>
  </si>
  <si>
    <r>
      <t xml:space="preserve">    Cargas Sociales</t>
    </r>
    <r>
      <rPr>
        <vertAlign val="superscript"/>
        <sz val="10"/>
        <rFont val="Arial"/>
        <family val="2"/>
      </rPr>
      <t>2/</t>
    </r>
  </si>
  <si>
    <r>
      <rPr>
        <vertAlign val="superscript"/>
        <sz val="10"/>
        <rFont val="Arial"/>
        <family val="2"/>
      </rPr>
      <t>1/</t>
    </r>
    <r>
      <rPr>
        <sz val="10"/>
        <rFont val="Arial"/>
        <family val="2"/>
      </rPr>
      <t xml:space="preserve"> Según el PIB publicado por el Banco Central  cifras preliminares, proyección 2025-2027 utilizada en el informe de Política Monetaria  de octubre 2025, aprobado por la Junta Directiva en el artículo 6 del acta de la sesión 6289-2025, el 29 de octubre de 2025 </t>
    </r>
  </si>
  <si>
    <r>
      <rPr>
        <vertAlign val="superscript"/>
        <sz val="10"/>
        <rFont val="Arial"/>
        <family val="2"/>
      </rPr>
      <t>2/</t>
    </r>
    <r>
      <rPr>
        <sz val="10"/>
        <rFont val="Arial"/>
        <family val="2"/>
      </rPr>
      <t xml:space="preserve"> A partir de enero 2020 los egresos de las cargas sociales de los programas 327-328- 329 del Ministerio de Obras Públicas y Transportes (MOPT), se capitalizan, por lo que se incluyen en el rubro de inversión.</t>
    </r>
  </si>
  <si>
    <r>
      <rPr>
        <vertAlign val="superscript"/>
        <sz val="10"/>
        <rFont val="Arial"/>
        <family val="2"/>
      </rPr>
      <t>3/</t>
    </r>
    <r>
      <rPr>
        <sz val="10"/>
        <rFont val="Arial"/>
        <family val="2"/>
      </rPr>
      <t xml:space="preserve"> Los egresos de bienes y servicios del programa 797 de Ministerio de Comercio Exterior a partir de enero 2020 se capitalizan y se incluyen en el rubro de inversión.</t>
    </r>
  </si>
  <si>
    <t xml:space="preserve">Cifras del mes de noviembre 2019 - 2025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</si>
</sst>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-* #,##0.00\ _P_t_s_-;\-* #,##0.00\ _P_t_s_-;_-* &quot;-&quot;??\ _P_t_s_-;_-@_-"/>
    <numFmt numFmtId="165" formatCode="#,##0.0\ _p_t_a"/>
    <numFmt numFmtId="166" formatCode="0.0"/>
    <numFmt numFmtId="167" formatCode="#,##0.0"/>
    <numFmt numFmtId="168" formatCode="#,##0.0_);\(#,##0.0\)"/>
    <numFmt numFmtId="169" formatCode="0.0%"/>
    <numFmt numFmtId="170" formatCode="#,##0.0000"/>
    <numFmt numFmtId="171" formatCode="#,##0.000"/>
  </numFmts>
  <fonts count="28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b/>
      <u/>
      <sz val="8"/>
      <name val="Arial"/>
      <family val="2"/>
    </font>
    <font>
      <sz val="8"/>
      <color indexed="12"/>
      <name val="Arial"/>
      <family val="2"/>
    </font>
    <font>
      <b/>
      <u/>
      <sz val="10"/>
      <name val="Arial"/>
      <family val="2"/>
    </font>
    <font>
      <b/>
      <u val="double"/>
      <sz val="10"/>
      <name val="Arial"/>
      <family val="2"/>
    </font>
    <font>
      <sz val="10"/>
      <color indexed="8"/>
      <name val="Arial"/>
      <family val="2"/>
    </font>
    <font>
      <u/>
      <sz val="10"/>
      <name val="Arial"/>
      <family val="2"/>
    </font>
    <font>
      <sz val="10"/>
      <color indexed="12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u val="double"/>
      <sz val="8"/>
      <name val="Arial"/>
      <family val="2"/>
    </font>
    <font>
      <sz val="10"/>
      <color indexed="49"/>
      <name val="Arial"/>
      <family val="2"/>
    </font>
    <font>
      <b/>
      <vertAlign val="superscript"/>
      <sz val="10"/>
      <name val="Arial"/>
      <family val="2"/>
    </font>
    <font>
      <vertAlign val="superscript"/>
      <sz val="12"/>
      <name val="Arial"/>
      <family val="2"/>
    </font>
    <font>
      <vertAlign val="superscript"/>
      <sz val="10"/>
      <name val="Arial"/>
      <family val="2"/>
    </font>
    <font>
      <b/>
      <sz val="8"/>
      <color indexed="12"/>
      <name val="Arial"/>
      <family val="2"/>
    </font>
    <font>
      <sz val="8"/>
      <name val="Tahoma"/>
      <family val="2"/>
    </font>
    <font>
      <u/>
      <sz val="8"/>
      <name val="Arial"/>
      <family val="2"/>
    </font>
    <font>
      <sz val="8"/>
      <color theme="0"/>
      <name val="Arial"/>
      <family val="2"/>
    </font>
    <font>
      <sz val="10"/>
      <color theme="0"/>
      <name val="Arial"/>
      <family val="2"/>
    </font>
    <font>
      <b/>
      <sz val="8"/>
      <color rgb="FF0000FF"/>
      <name val="Arial"/>
      <family val="2"/>
    </font>
    <font>
      <b/>
      <sz val="8"/>
      <color rgb="FF0070C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C4D79B"/>
        <bgColor rgb="FF000000"/>
      </patternFill>
    </fill>
  </fills>
  <borders count="18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</borders>
  <cellStyleXfs count="13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0" fontId="14" fillId="0" borderId="0"/>
    <xf numFmtId="0" fontId="14" fillId="0" borderId="0"/>
    <xf numFmtId="0" fontId="15" fillId="0" borderId="0"/>
    <xf numFmtId="0" fontId="3" fillId="0" borderId="0"/>
    <xf numFmtId="0" fontId="3" fillId="0" borderId="0"/>
    <xf numFmtId="0" fontId="3" fillId="0" borderId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11">
    <xf numFmtId="0" fontId="0" fillId="0" borderId="0" xfId="0"/>
    <xf numFmtId="0" fontId="3" fillId="0" borderId="0" xfId="0" applyFont="1"/>
    <xf numFmtId="167" fontId="3" fillId="0" borderId="0" xfId="0" applyNumberFormat="1" applyFont="1"/>
    <xf numFmtId="167" fontId="4" fillId="0" borderId="0" xfId="0" applyNumberFormat="1" applyFont="1" applyAlignment="1">
      <alignment horizontal="left"/>
    </xf>
    <xf numFmtId="49" fontId="4" fillId="0" borderId="0" xfId="0" applyNumberFormat="1" applyFont="1" applyAlignment="1">
      <alignment horizontal="center"/>
    </xf>
    <xf numFmtId="167" fontId="4" fillId="0" borderId="0" xfId="0" applyNumberFormat="1" applyFont="1"/>
    <xf numFmtId="165" fontId="3" fillId="0" borderId="0" xfId="0" applyNumberFormat="1" applyFont="1"/>
    <xf numFmtId="164" fontId="3" fillId="0" borderId="0" xfId="2" applyFont="1"/>
    <xf numFmtId="0" fontId="3" fillId="0" borderId="1" xfId="0" applyFont="1" applyBorder="1"/>
    <xf numFmtId="165" fontId="3" fillId="0" borderId="1" xfId="0" applyNumberFormat="1" applyFont="1" applyBorder="1"/>
    <xf numFmtId="165" fontId="3" fillId="0" borderId="1" xfId="0" applyNumberFormat="1" applyFont="1" applyBorder="1" applyAlignment="1">
      <alignment horizontal="center"/>
    </xf>
    <xf numFmtId="0" fontId="5" fillId="0" borderId="2" xfId="0" applyFont="1" applyBorder="1"/>
    <xf numFmtId="0" fontId="5" fillId="0" borderId="2" xfId="0" applyFont="1" applyBorder="1" applyAlignment="1">
      <alignment horizontal="center"/>
    </xf>
    <xf numFmtId="49" fontId="5" fillId="0" borderId="2" xfId="0" applyNumberFormat="1" applyFont="1" applyBorder="1" applyAlignment="1">
      <alignment horizontal="center"/>
    </xf>
    <xf numFmtId="167" fontId="6" fillId="0" borderId="0" xfId="0" applyNumberFormat="1" applyFont="1" applyAlignment="1">
      <alignment horizontal="left"/>
    </xf>
    <xf numFmtId="0" fontId="4" fillId="0" borderId="0" xfId="0" applyFont="1"/>
    <xf numFmtId="0" fontId="7" fillId="0" borderId="0" xfId="0" applyFont="1"/>
    <xf numFmtId="165" fontId="7" fillId="0" borderId="0" xfId="0" applyNumberFormat="1" applyFont="1"/>
    <xf numFmtId="0" fontId="3" fillId="0" borderId="0" xfId="0" applyFont="1" applyAlignment="1">
      <alignment horizontal="left" indent="2"/>
    </xf>
    <xf numFmtId="165" fontId="8" fillId="0" borderId="0" xfId="0" applyNumberFormat="1" applyFont="1"/>
    <xf numFmtId="167" fontId="9" fillId="0" borderId="0" xfId="0" applyNumberFormat="1" applyFont="1"/>
    <xf numFmtId="167" fontId="10" fillId="0" borderId="0" xfId="0" applyNumberFormat="1" applyFont="1"/>
    <xf numFmtId="167" fontId="3" fillId="0" borderId="0" xfId="0" applyNumberFormat="1" applyFont="1" applyAlignment="1">
      <alignment horizontal="left" indent="1"/>
    </xf>
    <xf numFmtId="167" fontId="3" fillId="0" borderId="0" xfId="0" applyNumberFormat="1" applyFont="1" applyAlignment="1">
      <alignment horizontal="left" indent="2"/>
    </xf>
    <xf numFmtId="167" fontId="3" fillId="0" borderId="0" xfId="0" applyNumberFormat="1" applyFont="1" applyAlignment="1">
      <alignment horizontal="left" indent="3"/>
    </xf>
    <xf numFmtId="0" fontId="3" fillId="0" borderId="0" xfId="0" applyFont="1" applyAlignment="1">
      <alignment horizontal="left" indent="1"/>
    </xf>
    <xf numFmtId="167" fontId="3" fillId="0" borderId="0" xfId="0" applyNumberFormat="1" applyFont="1" applyAlignment="1">
      <alignment horizontal="right"/>
    </xf>
    <xf numFmtId="167" fontId="11" fillId="0" borderId="0" xfId="0" applyNumberFormat="1" applyFont="1"/>
    <xf numFmtId="169" fontId="7" fillId="0" borderId="0" xfId="9" applyNumberFormat="1" applyFont="1" applyBorder="1"/>
    <xf numFmtId="169" fontId="2" fillId="0" borderId="0" xfId="9" applyNumberFormat="1" applyFont="1" applyBorder="1"/>
    <xf numFmtId="0" fontId="12" fillId="0" borderId="0" xfId="0" applyFont="1"/>
    <xf numFmtId="169" fontId="5" fillId="0" borderId="0" xfId="9" applyNumberFormat="1" applyFont="1" applyBorder="1"/>
    <xf numFmtId="165" fontId="13" fillId="0" borderId="0" xfId="0" applyNumberFormat="1" applyFont="1"/>
    <xf numFmtId="167" fontId="10" fillId="0" borderId="0" xfId="8" applyNumberFormat="1" applyFont="1" applyAlignment="1">
      <alignment horizontal="left" wrapText="1"/>
    </xf>
    <xf numFmtId="0" fontId="4" fillId="0" borderId="0" xfId="8" applyFont="1" applyAlignment="1">
      <alignment horizontal="left" vertical="center" wrapText="1"/>
    </xf>
    <xf numFmtId="167" fontId="10" fillId="0" borderId="0" xfId="3" applyNumberFormat="1" applyFont="1"/>
    <xf numFmtId="167" fontId="3" fillId="0" borderId="0" xfId="3" applyNumberFormat="1" applyFont="1"/>
    <xf numFmtId="167" fontId="4" fillId="0" borderId="0" xfId="3" applyNumberFormat="1" applyFont="1"/>
    <xf numFmtId="167" fontId="9" fillId="0" borderId="0" xfId="3" applyNumberFormat="1" applyFont="1"/>
    <xf numFmtId="167" fontId="3" fillId="0" borderId="0" xfId="3" applyNumberFormat="1" applyFont="1" applyAlignment="1">
      <alignment horizontal="right"/>
    </xf>
    <xf numFmtId="169" fontId="16" fillId="0" borderId="0" xfId="9" applyNumberFormat="1" applyFont="1" applyBorder="1"/>
    <xf numFmtId="3" fontId="10" fillId="0" borderId="0" xfId="8" applyNumberFormat="1" applyFont="1"/>
    <xf numFmtId="167" fontId="3" fillId="0" borderId="0" xfId="8" applyNumberFormat="1"/>
    <xf numFmtId="167" fontId="17" fillId="0" borderId="0" xfId="0" applyNumberFormat="1" applyFont="1"/>
    <xf numFmtId="169" fontId="24" fillId="0" borderId="0" xfId="9" applyNumberFormat="1" applyFont="1" applyBorder="1"/>
    <xf numFmtId="167" fontId="2" fillId="0" borderId="0" xfId="8" applyNumberFormat="1" applyFont="1"/>
    <xf numFmtId="167" fontId="18" fillId="0" borderId="0" xfId="0" applyNumberFormat="1" applyFont="1" applyAlignment="1">
      <alignment horizontal="right" wrapText="1"/>
    </xf>
    <xf numFmtId="169" fontId="19" fillId="0" borderId="0" xfId="9" applyNumberFormat="1" applyFont="1" applyFill="1" applyBorder="1" applyAlignment="1">
      <alignment horizontal="right" wrapText="1"/>
    </xf>
    <xf numFmtId="167" fontId="10" fillId="0" borderId="0" xfId="8" applyNumberFormat="1" applyFont="1"/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/>
    </xf>
    <xf numFmtId="169" fontId="2" fillId="0" borderId="0" xfId="9" applyNumberFormat="1" applyFont="1" applyFill="1" applyBorder="1"/>
    <xf numFmtId="0" fontId="2" fillId="0" borderId="0" xfId="6" applyFont="1"/>
    <xf numFmtId="0" fontId="9" fillId="0" borderId="0" xfId="0" applyFont="1"/>
    <xf numFmtId="167" fontId="2" fillId="0" borderId="0" xfId="6" applyNumberFormat="1" applyFont="1"/>
    <xf numFmtId="0" fontId="4" fillId="0" borderId="1" xfId="8" applyFont="1" applyBorder="1" applyAlignment="1">
      <alignment horizontal="left" vertical="center" wrapText="1"/>
    </xf>
    <xf numFmtId="167" fontId="3" fillId="0" borderId="1" xfId="8" applyNumberFormat="1" applyBorder="1"/>
    <xf numFmtId="169" fontId="5" fillId="0" borderId="3" xfId="9" applyNumberFormat="1" applyFont="1" applyFill="1" applyBorder="1" applyAlignment="1">
      <alignment horizontal="right"/>
    </xf>
    <xf numFmtId="169" fontId="5" fillId="0" borderId="4" xfId="9" applyNumberFormat="1" applyFont="1" applyFill="1" applyBorder="1" applyAlignment="1">
      <alignment horizontal="right"/>
    </xf>
    <xf numFmtId="169" fontId="21" fillId="0" borderId="3" xfId="9" applyNumberFormat="1" applyFont="1" applyFill="1" applyBorder="1"/>
    <xf numFmtId="169" fontId="21" fillId="0" borderId="4" xfId="9" applyNumberFormat="1" applyFont="1" applyFill="1" applyBorder="1"/>
    <xf numFmtId="169" fontId="5" fillId="0" borderId="5" xfId="9" applyNumberFormat="1" applyFont="1" applyFill="1" applyBorder="1"/>
    <xf numFmtId="169" fontId="5" fillId="0" borderId="6" xfId="9" applyNumberFormat="1" applyFont="1" applyFill="1" applyBorder="1"/>
    <xf numFmtId="169" fontId="5" fillId="0" borderId="7" xfId="9" applyNumberFormat="1" applyFont="1" applyFill="1" applyBorder="1"/>
    <xf numFmtId="169" fontId="7" fillId="2" borderId="8" xfId="9" applyNumberFormat="1" applyFont="1" applyFill="1" applyBorder="1"/>
    <xf numFmtId="169" fontId="7" fillId="2" borderId="7" xfId="9" applyNumberFormat="1" applyFont="1" applyFill="1" applyBorder="1"/>
    <xf numFmtId="167" fontId="7" fillId="3" borderId="7" xfId="7" applyNumberFormat="1" applyFont="1" applyFill="1" applyBorder="1"/>
    <xf numFmtId="167" fontId="5" fillId="0" borderId="9" xfId="10" applyNumberFormat="1" applyFont="1" applyFill="1" applyBorder="1"/>
    <xf numFmtId="167" fontId="5" fillId="0" borderId="10" xfId="10" applyNumberFormat="1" applyFont="1" applyFill="1" applyBorder="1"/>
    <xf numFmtId="169" fontId="5" fillId="0" borderId="11" xfId="9" applyNumberFormat="1" applyFont="1" applyFill="1" applyBorder="1" applyAlignment="1"/>
    <xf numFmtId="169" fontId="5" fillId="0" borderId="9" xfId="9" applyNumberFormat="1" applyFont="1" applyFill="1" applyBorder="1" applyAlignment="1"/>
    <xf numFmtId="169" fontId="7" fillId="0" borderId="11" xfId="9" applyNumberFormat="1" applyFont="1" applyFill="1" applyBorder="1" applyAlignment="1"/>
    <xf numFmtId="169" fontId="7" fillId="0" borderId="9" xfId="9" applyNumberFormat="1" applyFont="1" applyFill="1" applyBorder="1" applyAlignment="1"/>
    <xf numFmtId="167" fontId="2" fillId="0" borderId="9" xfId="10" applyNumberFormat="1" applyFont="1" applyFill="1" applyBorder="1"/>
    <xf numFmtId="167" fontId="2" fillId="0" borderId="10" xfId="10" applyNumberFormat="1" applyFont="1" applyFill="1" applyBorder="1"/>
    <xf numFmtId="169" fontId="2" fillId="0" borderId="11" xfId="9" applyNumberFormat="1" applyFont="1" applyFill="1" applyBorder="1"/>
    <xf numFmtId="169" fontId="2" fillId="0" borderId="9" xfId="9" applyNumberFormat="1" applyFont="1" applyFill="1" applyBorder="1"/>
    <xf numFmtId="169" fontId="2" fillId="0" borderId="11" xfId="9" applyNumberFormat="1" applyFont="1" applyFill="1" applyBorder="1" applyAlignment="1"/>
    <xf numFmtId="169" fontId="2" fillId="0" borderId="9" xfId="9" applyNumberFormat="1" applyFont="1" applyFill="1" applyBorder="1" applyAlignment="1"/>
    <xf numFmtId="169" fontId="7" fillId="0" borderId="7" xfId="9" applyNumberFormat="1" applyFont="1" applyFill="1" applyBorder="1"/>
    <xf numFmtId="169" fontId="7" fillId="0" borderId="12" xfId="9" applyNumberFormat="1" applyFont="1" applyFill="1" applyBorder="1"/>
    <xf numFmtId="169" fontId="7" fillId="0" borderId="13" xfId="9" applyNumberFormat="1" applyFont="1" applyFill="1" applyBorder="1"/>
    <xf numFmtId="169" fontId="2" fillId="0" borderId="10" xfId="9" applyNumberFormat="1" applyFont="1" applyFill="1" applyBorder="1"/>
    <xf numFmtId="167" fontId="2" fillId="0" borderId="4" xfId="10" applyNumberFormat="1" applyFont="1" applyFill="1" applyBorder="1"/>
    <xf numFmtId="169" fontId="2" fillId="0" borderId="4" xfId="9" applyNumberFormat="1" applyFont="1" applyFill="1" applyBorder="1"/>
    <xf numFmtId="169" fontId="2" fillId="0" borderId="14" xfId="9" applyNumberFormat="1" applyFont="1" applyFill="1" applyBorder="1"/>
    <xf numFmtId="167" fontId="2" fillId="0" borderId="14" xfId="10" applyNumberFormat="1" applyFont="1" applyFill="1" applyBorder="1"/>
    <xf numFmtId="169" fontId="2" fillId="0" borderId="2" xfId="9" applyNumberFormat="1" applyFont="1" applyFill="1" applyBorder="1"/>
    <xf numFmtId="169" fontId="7" fillId="0" borderId="11" xfId="9" applyNumberFormat="1" applyFont="1" applyFill="1" applyBorder="1"/>
    <xf numFmtId="169" fontId="7" fillId="0" borderId="9" xfId="9" applyNumberFormat="1" applyFont="1" applyFill="1" applyBorder="1"/>
    <xf numFmtId="169" fontId="7" fillId="0" borderId="0" xfId="9" applyNumberFormat="1" applyFont="1" applyFill="1" applyBorder="1"/>
    <xf numFmtId="169" fontId="7" fillId="0" borderId="8" xfId="9" applyNumberFormat="1" applyFont="1" applyFill="1" applyBorder="1"/>
    <xf numFmtId="169" fontId="2" fillId="0" borderId="3" xfId="9" applyNumberFormat="1" applyFont="1" applyFill="1" applyBorder="1"/>
    <xf numFmtId="167" fontId="2" fillId="3" borderId="7" xfId="10" applyNumberFormat="1" applyFont="1" applyFill="1" applyBorder="1"/>
    <xf numFmtId="169" fontId="2" fillId="2" borderId="13" xfId="9" applyNumberFormat="1" applyFont="1" applyFill="1" applyBorder="1"/>
    <xf numFmtId="169" fontId="2" fillId="2" borderId="7" xfId="9" applyNumberFormat="1" applyFont="1" applyFill="1" applyBorder="1"/>
    <xf numFmtId="167" fontId="2" fillId="3" borderId="9" xfId="10" applyNumberFormat="1" applyFont="1" applyFill="1" applyBorder="1"/>
    <xf numFmtId="169" fontId="2" fillId="2" borderId="0" xfId="9" applyNumberFormat="1" applyFont="1" applyFill="1" applyBorder="1"/>
    <xf numFmtId="169" fontId="2" fillId="2" borderId="9" xfId="9" applyNumberFormat="1" applyFont="1" applyFill="1" applyBorder="1"/>
    <xf numFmtId="167" fontId="2" fillId="3" borderId="4" xfId="10" applyNumberFormat="1" applyFont="1" applyFill="1" applyBorder="1"/>
    <xf numFmtId="169" fontId="2" fillId="2" borderId="2" xfId="9" applyNumberFormat="1" applyFont="1" applyFill="1" applyBorder="1"/>
    <xf numFmtId="169" fontId="2" fillId="2" borderId="4" xfId="9" applyNumberFormat="1" applyFont="1" applyFill="1" applyBorder="1"/>
    <xf numFmtId="167" fontId="7" fillId="3" borderId="10" xfId="7" applyNumberFormat="1" applyFont="1" applyFill="1" applyBorder="1"/>
    <xf numFmtId="169" fontId="2" fillId="2" borderId="6" xfId="9" applyNumberFormat="1" applyFont="1" applyFill="1" applyBorder="1"/>
    <xf numFmtId="165" fontId="25" fillId="0" borderId="0" xfId="0" applyNumberFormat="1" applyFont="1"/>
    <xf numFmtId="167" fontId="10" fillId="0" borderId="0" xfId="8" applyNumberFormat="1" applyFont="1" applyAlignment="1">
      <alignment horizontal="left" indent="1"/>
    </xf>
    <xf numFmtId="16" fontId="5" fillId="0" borderId="2" xfId="0" applyNumberFormat="1" applyFont="1" applyBorder="1" applyAlignment="1">
      <alignment horizontal="center"/>
    </xf>
    <xf numFmtId="167" fontId="7" fillId="3" borderId="12" xfId="7" applyNumberFormat="1" applyFont="1" applyFill="1" applyBorder="1"/>
    <xf numFmtId="167" fontId="2" fillId="3" borderId="12" xfId="10" applyNumberFormat="1" applyFont="1" applyFill="1" applyBorder="1"/>
    <xf numFmtId="167" fontId="2" fillId="3" borderId="10" xfId="10" applyNumberFormat="1" applyFont="1" applyFill="1" applyBorder="1"/>
    <xf numFmtId="167" fontId="2" fillId="3" borderId="14" xfId="10" applyNumberFormat="1" applyFont="1" applyFill="1" applyBorder="1"/>
    <xf numFmtId="0" fontId="7" fillId="0" borderId="1" xfId="0" applyFont="1" applyBorder="1"/>
    <xf numFmtId="167" fontId="5" fillId="0" borderId="6" xfId="7" applyNumberFormat="1" applyFont="1" applyBorder="1"/>
    <xf numFmtId="167" fontId="5" fillId="0" borderId="15" xfId="7" applyNumberFormat="1" applyFont="1" applyBorder="1"/>
    <xf numFmtId="167" fontId="5" fillId="0" borderId="4" xfId="7" applyNumberFormat="1" applyFont="1" applyBorder="1"/>
    <xf numFmtId="167" fontId="5" fillId="0" borderId="14" xfId="7" applyNumberFormat="1" applyFont="1" applyBorder="1"/>
    <xf numFmtId="167" fontId="26" fillId="0" borderId="6" xfId="7" applyNumberFormat="1" applyFont="1" applyBorder="1"/>
    <xf numFmtId="167" fontId="26" fillId="0" borderId="15" xfId="7" applyNumberFormat="1" applyFont="1" applyBorder="1"/>
    <xf numFmtId="167" fontId="5" fillId="0" borderId="16" xfId="7" applyNumberFormat="1" applyFont="1" applyBorder="1"/>
    <xf numFmtId="167" fontId="5" fillId="0" borderId="7" xfId="7" applyNumberFormat="1" applyFont="1" applyBorder="1"/>
    <xf numFmtId="167" fontId="5" fillId="0" borderId="12" xfId="7" applyNumberFormat="1" applyFont="1" applyBorder="1"/>
    <xf numFmtId="167" fontId="7" fillId="0" borderId="10" xfId="7" applyNumberFormat="1" applyFont="1" applyBorder="1"/>
    <xf numFmtId="167" fontId="7" fillId="0" borderId="9" xfId="7" applyNumberFormat="1" applyFont="1" applyBorder="1"/>
    <xf numFmtId="169" fontId="24" fillId="0" borderId="11" xfId="9" applyNumberFormat="1" applyFont="1" applyFill="1" applyBorder="1"/>
    <xf numFmtId="169" fontId="24" fillId="0" borderId="9" xfId="9" applyNumberFormat="1" applyFont="1" applyFill="1" applyBorder="1"/>
    <xf numFmtId="169" fontId="24" fillId="0" borderId="11" xfId="9" applyNumberFormat="1" applyFont="1" applyFill="1" applyBorder="1" applyAlignment="1"/>
    <xf numFmtId="169" fontId="24" fillId="0" borderId="9" xfId="9" applyNumberFormat="1" applyFont="1" applyFill="1" applyBorder="1" applyAlignment="1"/>
    <xf numFmtId="167" fontId="2" fillId="0" borderId="10" xfId="7" applyNumberFormat="1" applyFont="1" applyBorder="1"/>
    <xf numFmtId="167" fontId="2" fillId="0" borderId="9" xfId="7" applyNumberFormat="1" applyFont="1" applyBorder="1"/>
    <xf numFmtId="167" fontId="7" fillId="0" borderId="7" xfId="7" applyNumberFormat="1" applyFont="1" applyBorder="1"/>
    <xf numFmtId="167" fontId="7" fillId="0" borderId="12" xfId="7" applyNumberFormat="1" applyFont="1" applyBorder="1"/>
    <xf numFmtId="0" fontId="2" fillId="0" borderId="11" xfId="7" applyFont="1" applyBorder="1" applyAlignment="1">
      <alignment horizontal="left"/>
    </xf>
    <xf numFmtId="0" fontId="2" fillId="0" borderId="3" xfId="7" applyFont="1" applyBorder="1" applyAlignment="1">
      <alignment horizontal="left"/>
    </xf>
    <xf numFmtId="167" fontId="2" fillId="0" borderId="4" xfId="7" applyNumberFormat="1" applyFont="1" applyBorder="1"/>
    <xf numFmtId="167" fontId="2" fillId="0" borderId="14" xfId="7" applyNumberFormat="1" applyFont="1" applyBorder="1"/>
    <xf numFmtId="169" fontId="24" fillId="0" borderId="0" xfId="9" applyNumberFormat="1" applyFont="1" applyFill="1" applyBorder="1"/>
    <xf numFmtId="167" fontId="23" fillId="0" borderId="9" xfId="7" applyNumberFormat="1" applyFont="1" applyBorder="1"/>
    <xf numFmtId="167" fontId="23" fillId="0" borderId="10" xfId="7" applyNumberFormat="1" applyFont="1" applyBorder="1"/>
    <xf numFmtId="167" fontId="7" fillId="0" borderId="4" xfId="7" applyNumberFormat="1" applyFont="1" applyBorder="1"/>
    <xf numFmtId="167" fontId="7" fillId="0" borderId="14" xfId="7" applyNumberFormat="1" applyFont="1" applyBorder="1"/>
    <xf numFmtId="0" fontId="5" fillId="2" borderId="7" xfId="7" applyFont="1" applyFill="1" applyBorder="1" applyAlignment="1">
      <alignment horizontal="left"/>
    </xf>
    <xf numFmtId="0" fontId="2" fillId="0" borderId="9" xfId="7" applyFont="1" applyBorder="1" applyAlignment="1">
      <alignment horizontal="left"/>
    </xf>
    <xf numFmtId="0" fontId="5" fillId="0" borderId="9" xfId="7" applyFont="1" applyBorder="1" applyAlignment="1">
      <alignment horizontal="left"/>
    </xf>
    <xf numFmtId="0" fontId="2" fillId="0" borderId="4" xfId="7" applyFont="1" applyBorder="1" applyAlignment="1">
      <alignment horizontal="left"/>
    </xf>
    <xf numFmtId="169" fontId="24" fillId="0" borderId="10" xfId="9" applyNumberFormat="1" applyFont="1" applyFill="1" applyBorder="1"/>
    <xf numFmtId="0" fontId="4" fillId="0" borderId="0" xfId="0" applyFont="1" applyAlignment="1">
      <alignment horizontal="center"/>
    </xf>
    <xf numFmtId="169" fontId="16" fillId="0" borderId="0" xfId="9" applyNumberFormat="1" applyFont="1" applyFill="1" applyBorder="1"/>
    <xf numFmtId="4" fontId="3" fillId="0" borderId="0" xfId="0" applyNumberFormat="1" applyFont="1"/>
    <xf numFmtId="170" fontId="3" fillId="0" borderId="0" xfId="0" applyNumberFormat="1" applyFont="1"/>
    <xf numFmtId="0" fontId="4" fillId="0" borderId="17" xfId="0" applyFont="1" applyBorder="1" applyAlignment="1">
      <alignment horizontal="center"/>
    </xf>
    <xf numFmtId="0" fontId="27" fillId="0" borderId="0" xfId="6" applyFont="1"/>
    <xf numFmtId="167" fontId="27" fillId="0" borderId="0" xfId="6" applyNumberFormat="1" applyFont="1"/>
    <xf numFmtId="168" fontId="2" fillId="0" borderId="0" xfId="6" applyNumberFormat="1" applyFont="1"/>
    <xf numFmtId="0" fontId="5" fillId="0" borderId="0" xfId="6" applyFont="1" applyAlignment="1">
      <alignment horizontal="center"/>
    </xf>
    <xf numFmtId="0" fontId="5" fillId="2" borderId="5" xfId="6" applyFont="1" applyFill="1" applyBorder="1" applyAlignment="1">
      <alignment horizontal="center"/>
    </xf>
    <xf numFmtId="0" fontId="5" fillId="2" borderId="6" xfId="6" applyFont="1" applyFill="1" applyBorder="1" applyAlignment="1">
      <alignment horizontal="center"/>
    </xf>
    <xf numFmtId="0" fontId="5" fillId="2" borderId="15" xfId="6" applyFont="1" applyFill="1" applyBorder="1" applyAlignment="1">
      <alignment horizontal="center"/>
    </xf>
    <xf numFmtId="0" fontId="5" fillId="2" borderId="3" xfId="6" applyFont="1" applyFill="1" applyBorder="1" applyAlignment="1">
      <alignment horizontal="center"/>
    </xf>
    <xf numFmtId="0" fontId="5" fillId="2" borderId="4" xfId="6" applyFont="1" applyFill="1" applyBorder="1" applyAlignment="1">
      <alignment horizontal="center"/>
    </xf>
    <xf numFmtId="0" fontId="5" fillId="2" borderId="2" xfId="6" applyFont="1" applyFill="1" applyBorder="1" applyAlignment="1">
      <alignment horizontal="center"/>
    </xf>
    <xf numFmtId="49" fontId="5" fillId="2" borderId="6" xfId="6" applyNumberFormat="1" applyFont="1" applyFill="1" applyBorder="1" applyAlignment="1">
      <alignment horizontal="center" wrapText="1"/>
    </xf>
    <xf numFmtId="49" fontId="5" fillId="2" borderId="14" xfId="6" applyNumberFormat="1" applyFont="1" applyFill="1" applyBorder="1" applyAlignment="1">
      <alignment horizontal="center" wrapText="1"/>
    </xf>
    <xf numFmtId="0" fontId="5" fillId="0" borderId="3" xfId="6" applyFont="1" applyBorder="1" applyAlignment="1">
      <alignment horizontal="center"/>
    </xf>
    <xf numFmtId="167" fontId="5" fillId="0" borderId="6" xfId="6" applyNumberFormat="1" applyFont="1" applyBorder="1"/>
    <xf numFmtId="0" fontId="21" fillId="0" borderId="5" xfId="6" applyFont="1" applyBorder="1" applyAlignment="1">
      <alignment horizontal="center"/>
    </xf>
    <xf numFmtId="167" fontId="21" fillId="0" borderId="6" xfId="6" applyNumberFormat="1" applyFont="1" applyBorder="1"/>
    <xf numFmtId="0" fontId="2" fillId="0" borderId="5" xfId="6" applyFont="1" applyBorder="1" applyAlignment="1">
      <alignment horizontal="left"/>
    </xf>
    <xf numFmtId="167" fontId="7" fillId="2" borderId="7" xfId="6" applyNumberFormat="1" applyFont="1" applyFill="1" applyBorder="1"/>
    <xf numFmtId="0" fontId="5" fillId="2" borderId="8" xfId="6" applyFont="1" applyFill="1" applyBorder="1" applyAlignment="1">
      <alignment horizontal="left"/>
    </xf>
    <xf numFmtId="0" fontId="2" fillId="0" borderId="11" xfId="6" applyFont="1" applyBorder="1" applyAlignment="1">
      <alignment horizontal="left"/>
    </xf>
    <xf numFmtId="167" fontId="7" fillId="0" borderId="9" xfId="6" applyNumberFormat="1" applyFont="1" applyBorder="1"/>
    <xf numFmtId="0" fontId="5" fillId="0" borderId="0" xfId="6" applyFont="1"/>
    <xf numFmtId="0" fontId="5" fillId="0" borderId="11" xfId="6" applyFont="1" applyBorder="1" applyAlignment="1">
      <alignment horizontal="left"/>
    </xf>
    <xf numFmtId="167" fontId="2" fillId="0" borderId="9" xfId="6" applyNumberFormat="1" applyFont="1" applyBorder="1"/>
    <xf numFmtId="0" fontId="5" fillId="0" borderId="8" xfId="6" applyFont="1" applyBorder="1" applyAlignment="1">
      <alignment horizontal="left"/>
    </xf>
    <xf numFmtId="167" fontId="7" fillId="0" borderId="7" xfId="6" applyNumberFormat="1" applyFont="1" applyBorder="1"/>
    <xf numFmtId="0" fontId="22" fillId="0" borderId="11" xfId="6" applyFont="1" applyBorder="1" applyAlignment="1">
      <alignment horizontal="left"/>
    </xf>
    <xf numFmtId="0" fontId="22" fillId="0" borderId="3" xfId="6" applyFont="1" applyBorder="1" applyAlignment="1">
      <alignment horizontal="left"/>
    </xf>
    <xf numFmtId="167" fontId="7" fillId="0" borderId="10" xfId="6" applyNumberFormat="1" applyFont="1" applyBorder="1"/>
    <xf numFmtId="168" fontId="2" fillId="0" borderId="3" xfId="6" applyNumberFormat="1" applyFont="1" applyBorder="1" applyAlignment="1">
      <alignment horizontal="left"/>
    </xf>
    <xf numFmtId="167" fontId="2" fillId="0" borderId="14" xfId="6" applyNumberFormat="1" applyFont="1" applyBorder="1"/>
    <xf numFmtId="167" fontId="7" fillId="0" borderId="12" xfId="6" applyNumberFormat="1" applyFont="1" applyBorder="1"/>
    <xf numFmtId="166" fontId="2" fillId="0" borderId="11" xfId="6" applyNumberFormat="1" applyFont="1" applyBorder="1" applyAlignment="1">
      <alignment horizontal="left"/>
    </xf>
    <xf numFmtId="0" fontId="2" fillId="0" borderId="3" xfId="6" applyFont="1" applyBorder="1" applyAlignment="1">
      <alignment horizontal="left"/>
    </xf>
    <xf numFmtId="167" fontId="23" fillId="0" borderId="10" xfId="6" applyNumberFormat="1" applyFont="1" applyBorder="1"/>
    <xf numFmtId="167" fontId="7" fillId="0" borderId="4" xfId="6" applyNumberFormat="1" applyFont="1" applyBorder="1"/>
    <xf numFmtId="0" fontId="5" fillId="2" borderId="11" xfId="6" applyFont="1" applyFill="1" applyBorder="1" applyAlignment="1">
      <alignment horizontal="left"/>
    </xf>
    <xf numFmtId="0" fontId="5" fillId="2" borderId="3" xfId="6" applyFont="1" applyFill="1" applyBorder="1" applyAlignment="1">
      <alignment horizontal="left"/>
    </xf>
    <xf numFmtId="0" fontId="2" fillId="0" borderId="2" xfId="6" applyFont="1" applyBorder="1"/>
    <xf numFmtId="0" fontId="5" fillId="2" borderId="5" xfId="6" applyFont="1" applyFill="1" applyBorder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left" indent="1"/>
    </xf>
    <xf numFmtId="167" fontId="5" fillId="0" borderId="9" xfId="12" applyNumberFormat="1" applyFont="1" applyFill="1" applyBorder="1"/>
    <xf numFmtId="167" fontId="2" fillId="0" borderId="9" xfId="12" applyNumberFormat="1" applyFont="1" applyFill="1" applyBorder="1"/>
    <xf numFmtId="167" fontId="2" fillId="0" borderId="4" xfId="12" applyNumberFormat="1" applyFont="1" applyFill="1" applyBorder="1"/>
    <xf numFmtId="167" fontId="2" fillId="0" borderId="10" xfId="12" applyNumberFormat="1" applyFont="1" applyFill="1" applyBorder="1"/>
    <xf numFmtId="167" fontId="2" fillId="2" borderId="12" xfId="12" applyNumberFormat="1" applyFont="1" applyFill="1" applyBorder="1"/>
    <xf numFmtId="167" fontId="2" fillId="2" borderId="10" xfId="12" applyNumberFormat="1" applyFont="1" applyFill="1" applyBorder="1"/>
    <xf numFmtId="167" fontId="2" fillId="2" borderId="14" xfId="12" applyNumberFormat="1" applyFont="1" applyFill="1" applyBorder="1"/>
    <xf numFmtId="171" fontId="3" fillId="0" borderId="0" xfId="0" applyNumberFormat="1" applyFont="1"/>
    <xf numFmtId="49" fontId="3" fillId="0" borderId="0" xfId="3" applyNumberFormat="1" applyFont="1" applyAlignment="1">
      <alignment horizontal="left" wrapText="1"/>
    </xf>
    <xf numFmtId="0" fontId="4" fillId="0" borderId="17" xfId="0" applyFont="1" applyBorder="1" applyAlignment="1">
      <alignment horizontal="center"/>
    </xf>
    <xf numFmtId="0" fontId="4" fillId="0" borderId="0" xfId="5" applyFont="1" applyAlignment="1">
      <alignment horizontal="center"/>
    </xf>
    <xf numFmtId="0" fontId="4" fillId="0" borderId="0" xfId="3" applyFont="1" applyAlignment="1">
      <alignment horizontal="center"/>
    </xf>
    <xf numFmtId="0" fontId="5" fillId="0" borderId="0" xfId="3" applyFont="1" applyAlignment="1">
      <alignment horizontal="center"/>
    </xf>
    <xf numFmtId="0" fontId="4" fillId="0" borderId="0" xfId="4" applyFont="1" applyAlignment="1">
      <alignment horizontal="center"/>
    </xf>
    <xf numFmtId="0" fontId="5" fillId="0" borderId="0" xfId="4" applyFont="1" applyAlignment="1">
      <alignment horizontal="center"/>
    </xf>
    <xf numFmtId="0" fontId="5" fillId="0" borderId="0" xfId="6" applyFont="1" applyAlignment="1">
      <alignment horizontal="center"/>
    </xf>
    <xf numFmtId="49" fontId="5" fillId="2" borderId="5" xfId="6" applyNumberFormat="1" applyFont="1" applyFill="1" applyBorder="1" applyAlignment="1">
      <alignment horizontal="center" wrapText="1"/>
    </xf>
    <xf numFmtId="49" fontId="5" fillId="2" borderId="15" xfId="6" applyNumberFormat="1" applyFont="1" applyFill="1" applyBorder="1" applyAlignment="1">
      <alignment horizontal="center" wrapText="1"/>
    </xf>
  </cellXfs>
  <cellStyles count="13">
    <cellStyle name="Euro" xfId="1" xr:uid="{DF6B56E1-ED2F-4CEE-AEEA-ECD1D6C0D869}"/>
    <cellStyle name="Millares" xfId="2" builtinId="3"/>
    <cellStyle name="Normal" xfId="0" builtinId="0"/>
    <cellStyle name="Normal 2" xfId="3" xr:uid="{1EAC2E10-7DA3-4F66-B92F-947CB085EC1C}"/>
    <cellStyle name="Normal 3" xfId="4" xr:uid="{C7EF118C-99F8-42A2-AEFC-39EBD28061B1}"/>
    <cellStyle name="Normal 3 2" xfId="5" xr:uid="{3B510DC6-DD7F-4177-9F9C-92D788F898DB}"/>
    <cellStyle name="Normal_Cuadro Resumen 05-06 2" xfId="6" xr:uid="{5ECA2DF4-AD2F-4E88-8741-A335FCFDCFE5}"/>
    <cellStyle name="Normal_Cuadro Resumen 05-06 2 2" xfId="7" xr:uid="{D943D3AD-F60C-447D-BBBB-B03624B32901}"/>
    <cellStyle name="Normal_plantilla para datos fiscales" xfId="8" xr:uid="{EB44722F-9F02-4C1A-937A-984BE3A32057}"/>
    <cellStyle name="Porcentaje" xfId="9" builtinId="5"/>
    <cellStyle name="Porcentual 2" xfId="12" xr:uid="{231732BE-5F99-47F0-8972-0E80C9F833FC}"/>
    <cellStyle name="Porcentual 2 10" xfId="10" xr:uid="{5D1A2C26-315E-4DB1-800A-53C783C7CB3C}"/>
    <cellStyle name="Porcentual 2 2" xfId="11" xr:uid="{ABB15C95-7BFE-42EF-AD3D-2E49FB40CED2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3267075</xdr:colOff>
      <xdr:row>3</xdr:row>
      <xdr:rowOff>57150</xdr:rowOff>
    </xdr:to>
    <xdr:pic>
      <xdr:nvPicPr>
        <xdr:cNvPr id="1849" name="Imagen 6">
          <a:extLst>
            <a:ext uri="{FF2B5EF4-FFF2-40B4-BE49-F238E27FC236}">
              <a16:creationId xmlns:a16="http://schemas.microsoft.com/office/drawing/2014/main" id="{83927487-3642-E252-AB7A-E6F03EBEAE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52425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47625</xdr:colOff>
      <xdr:row>3</xdr:row>
      <xdr:rowOff>57150</xdr:rowOff>
    </xdr:to>
    <xdr:pic>
      <xdr:nvPicPr>
        <xdr:cNvPr id="2877" name="Imagen 6">
          <a:extLst>
            <a:ext uri="{FF2B5EF4-FFF2-40B4-BE49-F238E27FC236}">
              <a16:creationId xmlns:a16="http://schemas.microsoft.com/office/drawing/2014/main" id="{5B69A317-E776-80AA-29A3-9AFBA4E42C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52425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485775</xdr:colOff>
      <xdr:row>0</xdr:row>
      <xdr:rowOff>47625</xdr:rowOff>
    </xdr:from>
    <xdr:to>
      <xdr:col>8</xdr:col>
      <xdr:colOff>1714500</xdr:colOff>
      <xdr:row>4</xdr:row>
      <xdr:rowOff>19050</xdr:rowOff>
    </xdr:to>
    <xdr:pic>
      <xdr:nvPicPr>
        <xdr:cNvPr id="3092" name="Imagen 6">
          <a:extLst>
            <a:ext uri="{FF2B5EF4-FFF2-40B4-BE49-F238E27FC236}">
              <a16:creationId xmlns:a16="http://schemas.microsoft.com/office/drawing/2014/main" id="{00A6FAEB-8F99-9AF0-FAD7-83F14565BE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81425" y="47625"/>
          <a:ext cx="352425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944CDB-5E67-4D52-804B-DFA7FF2A75D7}">
  <dimension ref="A1:AO88"/>
  <sheetViews>
    <sheetView tabSelected="1" zoomScaleNormal="100" workbookViewId="0">
      <pane xSplit="2" ySplit="7" topLeftCell="C8" activePane="bottomRight" state="frozen"/>
      <selection activeCell="B5" sqref="B5"/>
      <selection pane="topRight" activeCell="B5" sqref="B5"/>
      <selection pane="bottomLeft" activeCell="B5" sqref="B5"/>
      <selection pane="bottomRight" activeCell="V36" sqref="V36"/>
    </sheetView>
  </sheetViews>
  <sheetFormatPr baseColWidth="10" defaultRowHeight="12.75" x14ac:dyDescent="0.2"/>
  <cols>
    <col min="1" max="1" width="3.85546875" style="1" customWidth="1"/>
    <col min="2" max="2" width="56.85546875" style="1" customWidth="1"/>
    <col min="3" max="12" width="10" style="1" hidden="1" customWidth="1"/>
    <col min="13" max="13" width="11" style="1" hidden="1" customWidth="1"/>
    <col min="14" max="15" width="10" style="1" hidden="1" customWidth="1"/>
    <col min="16" max="17" width="10" style="1" bestFit="1" customWidth="1"/>
    <col min="18" max="22" width="10" style="1" customWidth="1"/>
    <col min="23" max="23" width="7.5703125" style="6" hidden="1" customWidth="1"/>
    <col min="24" max="24" width="7.42578125" style="6" hidden="1" customWidth="1"/>
    <col min="25" max="25" width="8" style="6" hidden="1" customWidth="1"/>
    <col min="26" max="27" width="7.42578125" style="6" hidden="1" customWidth="1"/>
    <col min="28" max="28" width="6.28515625" style="6" hidden="1" customWidth="1"/>
    <col min="29" max="29" width="8.85546875" style="6" hidden="1" customWidth="1"/>
    <col min="30" max="30" width="7.42578125" style="6" hidden="1" customWidth="1"/>
    <col min="31" max="31" width="8.42578125" style="6" hidden="1" customWidth="1"/>
    <col min="32" max="32" width="7.42578125" style="6" hidden="1" customWidth="1"/>
    <col min="33" max="35" width="7.42578125" style="1" hidden="1" customWidth="1"/>
    <col min="36" max="38" width="7.42578125" style="1" bestFit="1" customWidth="1"/>
    <col min="39" max="39" width="7.5703125" style="1" bestFit="1" customWidth="1"/>
    <col min="40" max="40" width="8" style="1" bestFit="1" customWidth="1"/>
    <col min="41" max="41" width="7.42578125" style="1" bestFit="1" customWidth="1"/>
    <col min="42" max="16384" width="11.42578125" style="1"/>
  </cols>
  <sheetData>
    <row r="1" spans="1:41" x14ac:dyDescent="0.2">
      <c r="AG1" s="7"/>
    </row>
    <row r="2" spans="1:41" x14ac:dyDescent="0.2">
      <c r="A2" s="203" t="s">
        <v>45</v>
      </c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  <c r="Q2" s="203"/>
      <c r="R2" s="203"/>
      <c r="S2" s="203"/>
      <c r="T2" s="203"/>
      <c r="U2" s="203"/>
      <c r="V2" s="203"/>
      <c r="W2" s="203"/>
      <c r="X2" s="203"/>
      <c r="Y2" s="203"/>
      <c r="Z2" s="203"/>
      <c r="AA2" s="203"/>
      <c r="AB2" s="203"/>
      <c r="AC2" s="203"/>
      <c r="AD2" s="203"/>
      <c r="AE2" s="203"/>
      <c r="AF2" s="203"/>
      <c r="AG2" s="203"/>
      <c r="AH2" s="203"/>
      <c r="AI2" s="203"/>
      <c r="AJ2" s="203"/>
      <c r="AK2" s="203"/>
      <c r="AL2" s="203"/>
      <c r="AM2" s="203"/>
    </row>
    <row r="3" spans="1:41" x14ac:dyDescent="0.2">
      <c r="A3" s="204" t="s">
        <v>141</v>
      </c>
      <c r="B3" s="204"/>
      <c r="C3" s="204"/>
      <c r="D3" s="204"/>
      <c r="E3" s="204"/>
      <c r="F3" s="204"/>
      <c r="G3" s="204"/>
      <c r="H3" s="204"/>
      <c r="I3" s="204"/>
      <c r="J3" s="204"/>
      <c r="K3" s="204"/>
      <c r="L3" s="204"/>
      <c r="M3" s="204"/>
      <c r="N3" s="204"/>
      <c r="O3" s="204"/>
      <c r="P3" s="204"/>
      <c r="Q3" s="204"/>
      <c r="R3" s="204"/>
      <c r="S3" s="204"/>
      <c r="T3" s="204"/>
      <c r="U3" s="204"/>
      <c r="V3" s="204"/>
      <c r="W3" s="204"/>
      <c r="X3" s="204"/>
      <c r="Y3" s="204"/>
      <c r="Z3" s="204"/>
      <c r="AA3" s="204"/>
      <c r="AB3" s="204"/>
      <c r="AC3" s="204"/>
      <c r="AD3" s="204"/>
      <c r="AE3" s="204"/>
      <c r="AF3" s="204"/>
      <c r="AG3" s="204"/>
      <c r="AH3" s="204"/>
      <c r="AI3" s="204"/>
      <c r="AJ3" s="204"/>
      <c r="AK3" s="204"/>
      <c r="AL3" s="204"/>
      <c r="AM3" s="204"/>
    </row>
    <row r="4" spans="1:41" x14ac:dyDescent="0.2">
      <c r="A4" s="205" t="s">
        <v>44</v>
      </c>
      <c r="B4" s="205"/>
      <c r="C4" s="205"/>
      <c r="D4" s="205"/>
      <c r="E4" s="205"/>
      <c r="F4" s="205"/>
      <c r="G4" s="205"/>
      <c r="H4" s="205"/>
      <c r="I4" s="205"/>
      <c r="J4" s="205"/>
      <c r="K4" s="205"/>
      <c r="L4" s="205"/>
      <c r="M4" s="205"/>
      <c r="N4" s="205"/>
      <c r="O4" s="205"/>
      <c r="P4" s="205"/>
      <c r="Q4" s="205"/>
      <c r="R4" s="205"/>
      <c r="S4" s="205"/>
      <c r="T4" s="205"/>
      <c r="U4" s="205"/>
      <c r="V4" s="205"/>
      <c r="W4" s="205"/>
      <c r="X4" s="205"/>
      <c r="Y4" s="205"/>
      <c r="Z4" s="205"/>
      <c r="AA4" s="205"/>
      <c r="AB4" s="205"/>
      <c r="AC4" s="205"/>
      <c r="AD4" s="205"/>
      <c r="AE4" s="205"/>
      <c r="AF4" s="205"/>
      <c r="AG4" s="205"/>
      <c r="AH4" s="205"/>
      <c r="AI4" s="205"/>
      <c r="AJ4" s="205"/>
      <c r="AK4" s="205"/>
      <c r="AL4" s="205"/>
      <c r="AM4" s="205"/>
    </row>
    <row r="5" spans="1:41" ht="13.5" thickBot="1" x14ac:dyDescent="0.25"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9"/>
      <c r="X5" s="9"/>
      <c r="Y5" s="9"/>
      <c r="Z5" s="9"/>
      <c r="AA5" s="9"/>
      <c r="AB5" s="9"/>
      <c r="AC5" s="9"/>
      <c r="AD5" s="9"/>
      <c r="AE5" s="9"/>
      <c r="AF5" s="9"/>
      <c r="AG5" s="10"/>
      <c r="AH5" s="8"/>
      <c r="AI5" s="8"/>
      <c r="AJ5" s="8"/>
      <c r="AK5" s="8"/>
      <c r="AL5" s="8"/>
      <c r="AM5" s="8"/>
      <c r="AN5" s="8"/>
      <c r="AO5" s="8"/>
    </row>
    <row r="6" spans="1:41" ht="13.5" thickTop="1" x14ac:dyDescent="0.2">
      <c r="C6" s="202" t="s">
        <v>48</v>
      </c>
      <c r="D6" s="202"/>
      <c r="E6" s="202"/>
      <c r="F6" s="202"/>
      <c r="G6" s="202"/>
      <c r="H6" s="202"/>
      <c r="I6" s="202"/>
      <c r="J6" s="202"/>
      <c r="K6" s="202"/>
      <c r="L6" s="202"/>
      <c r="M6" s="202"/>
      <c r="N6" s="202"/>
      <c r="O6" s="202"/>
      <c r="P6" s="202"/>
      <c r="Q6" s="202"/>
      <c r="R6" s="202"/>
      <c r="S6" s="202"/>
      <c r="T6" s="202"/>
      <c r="U6" s="146"/>
      <c r="V6" s="146"/>
      <c r="W6" s="202" t="s">
        <v>20</v>
      </c>
      <c r="X6" s="202"/>
      <c r="Y6" s="202"/>
      <c r="Z6" s="202"/>
      <c r="AA6" s="202"/>
      <c r="AB6" s="202"/>
      <c r="AC6" s="202"/>
      <c r="AD6" s="202"/>
      <c r="AE6" s="202"/>
      <c r="AF6" s="202"/>
      <c r="AG6" s="202"/>
      <c r="AH6" s="202"/>
      <c r="AI6" s="202"/>
      <c r="AJ6" s="202"/>
      <c r="AK6" s="202"/>
      <c r="AL6" s="202"/>
      <c r="AM6" s="202"/>
      <c r="AN6" s="202"/>
      <c r="AO6" s="202"/>
    </row>
    <row r="7" spans="1:41" x14ac:dyDescent="0.2">
      <c r="B7" s="11" t="s">
        <v>0</v>
      </c>
      <c r="C7" s="12">
        <v>2006</v>
      </c>
      <c r="D7" s="12">
        <v>2007</v>
      </c>
      <c r="E7" s="12">
        <v>2008</v>
      </c>
      <c r="F7" s="12">
        <v>2009</v>
      </c>
      <c r="G7" s="12">
        <v>2010</v>
      </c>
      <c r="H7" s="12">
        <v>2011</v>
      </c>
      <c r="I7" s="12">
        <v>2012</v>
      </c>
      <c r="J7" s="12">
        <v>2013</v>
      </c>
      <c r="K7" s="12">
        <v>2014</v>
      </c>
      <c r="L7" s="12">
        <v>2015</v>
      </c>
      <c r="M7" s="12">
        <v>2016</v>
      </c>
      <c r="N7" s="12">
        <v>2017</v>
      </c>
      <c r="O7" s="12">
        <v>2018</v>
      </c>
      <c r="P7" s="12">
        <v>2019</v>
      </c>
      <c r="Q7" s="12">
        <v>2020</v>
      </c>
      <c r="R7" s="12">
        <v>2021</v>
      </c>
      <c r="S7" s="12">
        <v>2022</v>
      </c>
      <c r="T7" s="12">
        <v>2023</v>
      </c>
      <c r="U7" s="12">
        <v>2024</v>
      </c>
      <c r="V7" s="12">
        <v>2025</v>
      </c>
      <c r="W7" s="13" t="s">
        <v>57</v>
      </c>
      <c r="X7" s="13" t="s">
        <v>58</v>
      </c>
      <c r="Y7" s="13" t="s">
        <v>59</v>
      </c>
      <c r="Z7" s="13" t="s">
        <v>60</v>
      </c>
      <c r="AA7" s="13" t="s">
        <v>61</v>
      </c>
      <c r="AB7" s="13" t="s">
        <v>62</v>
      </c>
      <c r="AC7" s="13" t="s">
        <v>63</v>
      </c>
      <c r="AD7" s="13" t="s">
        <v>64</v>
      </c>
      <c r="AE7" s="13" t="s">
        <v>65</v>
      </c>
      <c r="AF7" s="13" t="s">
        <v>66</v>
      </c>
      <c r="AG7" s="13" t="s">
        <v>67</v>
      </c>
      <c r="AH7" s="13" t="s">
        <v>129</v>
      </c>
      <c r="AI7" s="13" t="s">
        <v>68</v>
      </c>
      <c r="AJ7" s="13" t="s">
        <v>69</v>
      </c>
      <c r="AK7" s="13" t="s">
        <v>70</v>
      </c>
      <c r="AL7" s="13" t="s">
        <v>71</v>
      </c>
      <c r="AM7" s="13" t="s">
        <v>75</v>
      </c>
      <c r="AN7" s="13" t="s">
        <v>77</v>
      </c>
      <c r="AO7" s="13" t="s">
        <v>130</v>
      </c>
    </row>
    <row r="8" spans="1:41" x14ac:dyDescent="0.2">
      <c r="C8" s="6"/>
      <c r="D8" s="6"/>
    </row>
    <row r="9" spans="1:41" x14ac:dyDescent="0.2">
      <c r="A9" s="1">
        <v>1</v>
      </c>
      <c r="B9" s="3" t="s">
        <v>10</v>
      </c>
      <c r="C9" s="21">
        <f t="shared" ref="C9:O9" si="0">+C11+C34</f>
        <v>140940.38443830001</v>
      </c>
      <c r="D9" s="21">
        <f t="shared" si="0"/>
        <v>167847.46451266998</v>
      </c>
      <c r="E9" s="21">
        <f t="shared" si="0"/>
        <v>162481.68597105</v>
      </c>
      <c r="F9" s="21">
        <f t="shared" si="0"/>
        <v>171870.19203495001</v>
      </c>
      <c r="G9" s="21">
        <f t="shared" si="0"/>
        <v>207812.78153116</v>
      </c>
      <c r="H9" s="21">
        <f t="shared" si="0"/>
        <v>246414.44440568998</v>
      </c>
      <c r="I9" s="21">
        <f t="shared" si="0"/>
        <v>244018.79396518003</v>
      </c>
      <c r="J9" s="21">
        <f t="shared" si="0"/>
        <v>263896.44713913003</v>
      </c>
      <c r="K9" s="21">
        <f t="shared" si="0"/>
        <v>272599.92767840996</v>
      </c>
      <c r="L9" s="21">
        <f t="shared" si="0"/>
        <v>315793.08956610004</v>
      </c>
      <c r="M9" s="21">
        <f t="shared" si="0"/>
        <v>347566.53646943008</v>
      </c>
      <c r="N9" s="21">
        <f t="shared" si="0"/>
        <v>372845.60800660989</v>
      </c>
      <c r="O9" s="21">
        <f t="shared" si="0"/>
        <v>369797.24152059003</v>
      </c>
      <c r="P9" s="21">
        <f t="shared" ref="P9:V9" si="1">+P11+P34</f>
        <v>403906.63718281005</v>
      </c>
      <c r="Q9" s="21">
        <f t="shared" si="1"/>
        <v>378237.87459328002</v>
      </c>
      <c r="R9" s="21">
        <f t="shared" si="1"/>
        <v>483444.25675224996</v>
      </c>
      <c r="S9" s="21">
        <f t="shared" si="1"/>
        <v>527797.88031231007</v>
      </c>
      <c r="T9" s="21">
        <f t="shared" si="1"/>
        <v>549197.11760802998</v>
      </c>
      <c r="U9" s="21">
        <f t="shared" si="1"/>
        <v>533704.14311994996</v>
      </c>
      <c r="V9" s="21">
        <f t="shared" si="1"/>
        <v>531946.73197511991</v>
      </c>
      <c r="W9" s="40">
        <f t="shared" ref="W9:AL9" si="2">+D9/C9-1</f>
        <v>0.1909110733705226</v>
      </c>
      <c r="X9" s="40">
        <f t="shared" si="2"/>
        <v>-3.1968183476581147E-2</v>
      </c>
      <c r="Y9" s="40">
        <f t="shared" si="2"/>
        <v>5.7781934054849771E-2</v>
      </c>
      <c r="Z9" s="40">
        <f t="shared" si="2"/>
        <v>0.20912637072576845</v>
      </c>
      <c r="AA9" s="40">
        <f t="shared" si="2"/>
        <v>0.18575211105935718</v>
      </c>
      <c r="AB9" s="40">
        <f t="shared" si="2"/>
        <v>-9.722037384163329E-3</v>
      </c>
      <c r="AC9" s="40">
        <f t="shared" si="2"/>
        <v>8.1459517322204356E-2</v>
      </c>
      <c r="AD9" s="40">
        <f t="shared" si="2"/>
        <v>3.298066583932191E-2</v>
      </c>
      <c r="AE9" s="40">
        <f t="shared" si="2"/>
        <v>0.15844891176437015</v>
      </c>
      <c r="AF9" s="40">
        <f t="shared" si="2"/>
        <v>0.10061476312539575</v>
      </c>
      <c r="AG9" s="40">
        <f t="shared" si="2"/>
        <v>7.2731603548384705E-2</v>
      </c>
      <c r="AH9" s="40">
        <f>+O9/N9-1</f>
        <v>-8.1759484906305246E-3</v>
      </c>
      <c r="AI9" s="40">
        <f>+P9/O9-1</f>
        <v>9.2238101944632334E-2</v>
      </c>
      <c r="AJ9" s="40">
        <f t="shared" si="2"/>
        <v>-6.355122750288511E-2</v>
      </c>
      <c r="AK9" s="40">
        <f t="shared" si="2"/>
        <v>0.27814872392696954</v>
      </c>
      <c r="AL9" s="40">
        <f t="shared" si="2"/>
        <v>9.1745062518738152E-2</v>
      </c>
      <c r="AM9" s="40">
        <f>+T9/S9-1</f>
        <v>4.054437900178276E-2</v>
      </c>
      <c r="AN9" s="40">
        <f>+U9/T9-1</f>
        <v>-2.8210225420625012E-2</v>
      </c>
      <c r="AO9" s="40">
        <f>+V9/U9-1</f>
        <v>-3.2928564776666391E-3</v>
      </c>
    </row>
    <row r="10" spans="1:41" x14ac:dyDescent="0.2">
      <c r="B10" s="3"/>
      <c r="C10" s="2"/>
      <c r="D10" s="2"/>
      <c r="E10" s="2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  <c r="AL10" s="28"/>
      <c r="AM10" s="28"/>
      <c r="AN10" s="28"/>
      <c r="AO10" s="28"/>
    </row>
    <row r="11" spans="1:41" x14ac:dyDescent="0.2">
      <c r="B11" s="3" t="s">
        <v>31</v>
      </c>
      <c r="C11" s="20">
        <f t="shared" ref="C11:L11" si="3">+C12+C30+C31+C32</f>
        <v>140632.38443830001</v>
      </c>
      <c r="D11" s="20">
        <f t="shared" si="3"/>
        <v>167797.46451266998</v>
      </c>
      <c r="E11" s="20">
        <f t="shared" si="3"/>
        <v>162481.68597105</v>
      </c>
      <c r="F11" s="20">
        <f t="shared" si="3"/>
        <v>170388.45203495002</v>
      </c>
      <c r="G11" s="20">
        <f t="shared" si="3"/>
        <v>207493.88153116</v>
      </c>
      <c r="H11" s="20">
        <f t="shared" si="3"/>
        <v>246358.14440568999</v>
      </c>
      <c r="I11" s="20">
        <f t="shared" si="3"/>
        <v>244017.09396518001</v>
      </c>
      <c r="J11" s="20">
        <f t="shared" si="3"/>
        <v>263896.44713913003</v>
      </c>
      <c r="K11" s="20">
        <f t="shared" si="3"/>
        <v>272599.92767840996</v>
      </c>
      <c r="L11" s="20">
        <f t="shared" si="3"/>
        <v>315744.38406188006</v>
      </c>
      <c r="M11" s="20">
        <f t="shared" ref="M11:R11" si="4">+M12+M30+M31+M32</f>
        <v>347566.53646943008</v>
      </c>
      <c r="N11" s="20">
        <f t="shared" si="4"/>
        <v>372845.60800660989</v>
      </c>
      <c r="O11" s="20">
        <f t="shared" si="4"/>
        <v>369797.24152059003</v>
      </c>
      <c r="P11" s="20">
        <f t="shared" si="4"/>
        <v>403906.63718281005</v>
      </c>
      <c r="Q11" s="20">
        <f t="shared" si="4"/>
        <v>378237.87459328002</v>
      </c>
      <c r="R11" s="20">
        <f t="shared" si="4"/>
        <v>483444.25675224996</v>
      </c>
      <c r="S11" s="20">
        <f>+S12+S30+S31+S32</f>
        <v>527797.88031231007</v>
      </c>
      <c r="T11" s="20">
        <f>+T12+T30+T31+T32</f>
        <v>549197.11760802998</v>
      </c>
      <c r="U11" s="20">
        <f>+U12+U30+U31+U32</f>
        <v>533704.14311994996</v>
      </c>
      <c r="V11" s="20">
        <f>+V12+V30+V31+V32</f>
        <v>531946.73197511991</v>
      </c>
      <c r="W11" s="28">
        <f t="shared" ref="W11:W32" si="5">+D11/C11-1</f>
        <v>0.19316375942049224</v>
      </c>
      <c r="X11" s="28">
        <f t="shared" ref="X11:X32" si="6">+E11/D11-1</f>
        <v>-3.1679731020122781E-2</v>
      </c>
      <c r="Y11" s="28">
        <f t="shared" ref="Y11:Y32" si="7">+F11/E11-1</f>
        <v>4.8662506279685047E-2</v>
      </c>
      <c r="Z11" s="28">
        <f t="shared" ref="Z11:Z32" si="8">+G11/F11-1</f>
        <v>0.21776962612817763</v>
      </c>
      <c r="AA11" s="28">
        <f t="shared" ref="AA11:AA32" si="9">+H11/G11-1</f>
        <v>0.1873031753405876</v>
      </c>
      <c r="AB11" s="28">
        <f t="shared" ref="AB11:AB32" si="10">+I11/H11-1</f>
        <v>-9.5026305956211754E-3</v>
      </c>
      <c r="AC11" s="28">
        <f t="shared" ref="AC11:AC32" si="11">+J11/I11-1</f>
        <v>8.1467051553309133E-2</v>
      </c>
      <c r="AD11" s="28">
        <f t="shared" ref="AD11:AD32" si="12">+K11/J11-1</f>
        <v>3.298066583932191E-2</v>
      </c>
      <c r="AE11" s="28">
        <f t="shared" ref="AE11:AE32" si="13">+L11/K11-1</f>
        <v>0.15827024148872204</v>
      </c>
      <c r="AF11" s="28">
        <f t="shared" ref="AF11:AF32" si="14">+M11/L11-1</f>
        <v>0.10078453969054113</v>
      </c>
      <c r="AG11" s="28">
        <f t="shared" ref="AG11:AG32" si="15">+N11/M11-1</f>
        <v>7.2731603548384705E-2</v>
      </c>
      <c r="AH11" s="28">
        <f t="shared" ref="AH11:AH32" si="16">+O11/N11-1</f>
        <v>-8.1759484906305246E-3</v>
      </c>
      <c r="AI11" s="28">
        <f t="shared" ref="AI11:AI32" si="17">+P11/O11-1</f>
        <v>9.2238101944632334E-2</v>
      </c>
      <c r="AJ11" s="28">
        <f t="shared" ref="AJ11:AJ32" si="18">+Q11/P11-1</f>
        <v>-6.355122750288511E-2</v>
      </c>
      <c r="AK11" s="28">
        <f t="shared" ref="AK11:AK27" si="19">+R11/Q11-1</f>
        <v>0.27814872392696954</v>
      </c>
      <c r="AL11" s="28">
        <f t="shared" ref="AL11:AL27" si="20">+S11/R11-1</f>
        <v>9.1745062518738152E-2</v>
      </c>
      <c r="AM11" s="28">
        <f t="shared" ref="AM11:AO27" si="21">+T11/S11-1</f>
        <v>4.054437900178276E-2</v>
      </c>
      <c r="AN11" s="28">
        <f t="shared" si="21"/>
        <v>-2.8210225420625012E-2</v>
      </c>
      <c r="AO11" s="28">
        <f t="shared" si="21"/>
        <v>-3.2928564776666391E-3</v>
      </c>
    </row>
    <row r="12" spans="1:41" x14ac:dyDescent="0.2">
      <c r="B12" s="22" t="s">
        <v>30</v>
      </c>
      <c r="C12" s="2">
        <v>133787.65339510998</v>
      </c>
      <c r="D12" s="2">
        <f t="shared" ref="D12:L12" si="22">+D13+D14+D17+D21+D24+D27</f>
        <v>162792.40773573998</v>
      </c>
      <c r="E12" s="2">
        <f t="shared" si="22"/>
        <v>157590.84512687</v>
      </c>
      <c r="F12" s="2">
        <f t="shared" si="22"/>
        <v>162159.4903031</v>
      </c>
      <c r="G12" s="2">
        <f t="shared" si="22"/>
        <v>185419.18153116002</v>
      </c>
      <c r="H12" s="2">
        <f t="shared" si="22"/>
        <v>212757.12710390997</v>
      </c>
      <c r="I12" s="2">
        <f t="shared" si="22"/>
        <v>229259.4864396</v>
      </c>
      <c r="J12" s="2">
        <f t="shared" si="22"/>
        <v>236723.94103770002</v>
      </c>
      <c r="K12" s="2">
        <f t="shared" si="22"/>
        <v>256825.90431615</v>
      </c>
      <c r="L12" s="2">
        <f t="shared" si="22"/>
        <v>299173.01046396</v>
      </c>
      <c r="M12" s="2">
        <f t="shared" ref="M12:R12" si="23">+M13+M14+M17+M21+M24+M27</f>
        <v>315676.55971842003</v>
      </c>
      <c r="N12" s="2">
        <f t="shared" si="23"/>
        <v>332454.41515618993</v>
      </c>
      <c r="O12" s="2">
        <f t="shared" si="23"/>
        <v>341343.94146231003</v>
      </c>
      <c r="P12" s="2">
        <f t="shared" si="23"/>
        <v>367570.25037972</v>
      </c>
      <c r="Q12" s="2">
        <f t="shared" si="23"/>
        <v>340064.80282846</v>
      </c>
      <c r="R12" s="2">
        <f t="shared" si="23"/>
        <v>432045.17124886997</v>
      </c>
      <c r="S12" s="2">
        <f>+S13+S14+S17+S21+S24+S27+S28+S29</f>
        <v>471529.78970959998</v>
      </c>
      <c r="T12" s="2">
        <f>+T13+T14+T17+T21+T24+T27+T28+T29</f>
        <v>477746.99584980001</v>
      </c>
      <c r="U12" s="2">
        <f>+U13+U14+U17+U21+U24+U27+U28+U29</f>
        <v>467538.38821638003</v>
      </c>
      <c r="V12" s="2">
        <f>+V13+V14+V17+V21+V24+V27+V28+V29</f>
        <v>464558.34455259994</v>
      </c>
      <c r="W12" s="29">
        <f t="shared" si="5"/>
        <v>0.21679694354882928</v>
      </c>
      <c r="X12" s="29">
        <f t="shared" si="6"/>
        <v>-3.1952120379677984E-2</v>
      </c>
      <c r="Y12" s="29">
        <f t="shared" si="7"/>
        <v>2.8990549372027052E-2</v>
      </c>
      <c r="Z12" s="29">
        <f t="shared" si="8"/>
        <v>0.14343712590970914</v>
      </c>
      <c r="AA12" s="29">
        <f t="shared" si="9"/>
        <v>0.14743860558005828</v>
      </c>
      <c r="AB12" s="29">
        <f t="shared" si="10"/>
        <v>7.7564307999093973E-2</v>
      </c>
      <c r="AC12" s="29">
        <f t="shared" si="11"/>
        <v>3.2558978099545666E-2</v>
      </c>
      <c r="AD12" s="29">
        <f t="shared" si="12"/>
        <v>8.4917322643123017E-2</v>
      </c>
      <c r="AE12" s="29">
        <f t="shared" si="13"/>
        <v>0.16488642865122038</v>
      </c>
      <c r="AF12" s="29">
        <f t="shared" si="14"/>
        <v>5.5163897401260265E-2</v>
      </c>
      <c r="AG12" s="29">
        <f t="shared" si="15"/>
        <v>5.3148879513688296E-2</v>
      </c>
      <c r="AH12" s="29">
        <f t="shared" si="16"/>
        <v>2.6739083317463885E-2</v>
      </c>
      <c r="AI12" s="29">
        <f t="shared" si="17"/>
        <v>7.6832501567354772E-2</v>
      </c>
      <c r="AJ12" s="29">
        <f t="shared" si="18"/>
        <v>-7.4830450839928897E-2</v>
      </c>
      <c r="AK12" s="29">
        <f t="shared" si="19"/>
        <v>0.27047894299960218</v>
      </c>
      <c r="AL12" s="29">
        <f t="shared" si="20"/>
        <v>9.1390023748201488E-2</v>
      </c>
      <c r="AM12" s="29">
        <f t="shared" si="21"/>
        <v>1.3185182094282988E-2</v>
      </c>
      <c r="AN12" s="29">
        <f t="shared" si="21"/>
        <v>-2.1368229883395151E-2</v>
      </c>
      <c r="AO12" s="29">
        <f t="shared" si="21"/>
        <v>-6.373901563781148E-3</v>
      </c>
    </row>
    <row r="13" spans="1:41" x14ac:dyDescent="0.2">
      <c r="B13" s="23" t="s">
        <v>23</v>
      </c>
      <c r="C13" s="2">
        <v>18440.087521860001</v>
      </c>
      <c r="D13" s="2">
        <v>23627.620876699999</v>
      </c>
      <c r="E13" s="2">
        <v>23092.620776530002</v>
      </c>
      <c r="F13" s="2">
        <v>28523.112911920001</v>
      </c>
      <c r="G13" s="2">
        <v>31357.039710660003</v>
      </c>
      <c r="H13" s="2">
        <v>34382.778077550007</v>
      </c>
      <c r="I13" s="2">
        <v>41772.953179490003</v>
      </c>
      <c r="J13" s="2">
        <v>47752.309530389997</v>
      </c>
      <c r="K13" s="2">
        <v>58240.875471140003</v>
      </c>
      <c r="L13" s="2">
        <v>74995.96375072001</v>
      </c>
      <c r="M13" s="2">
        <v>64043.238350219995</v>
      </c>
      <c r="N13" s="2">
        <v>75899.529773799994</v>
      </c>
      <c r="O13" s="2">
        <v>96894.356274610007</v>
      </c>
      <c r="P13" s="2">
        <v>95844.002063490014</v>
      </c>
      <c r="Q13" s="2">
        <v>92679.067977070008</v>
      </c>
      <c r="R13" s="2">
        <v>106856.13717013999</v>
      </c>
      <c r="S13" s="2">
        <v>126574.05573523001</v>
      </c>
      <c r="T13" s="2">
        <v>126179.39308393002</v>
      </c>
      <c r="U13" s="2">
        <v>126952.29498932</v>
      </c>
      <c r="V13" s="2">
        <v>122119.83911429999</v>
      </c>
      <c r="W13" s="29">
        <f t="shared" si="5"/>
        <v>0.28131826102725266</v>
      </c>
      <c r="X13" s="29">
        <f t="shared" si="6"/>
        <v>-2.2642994949084283E-2</v>
      </c>
      <c r="Y13" s="29">
        <f t="shared" si="7"/>
        <v>0.2351613611959209</v>
      </c>
      <c r="Z13" s="29">
        <f t="shared" si="8"/>
        <v>9.9355452803879807E-2</v>
      </c>
      <c r="AA13" s="29">
        <f t="shared" si="9"/>
        <v>9.6493112704812756E-2</v>
      </c>
      <c r="AB13" s="29">
        <f t="shared" si="10"/>
        <v>0.21493827768284257</v>
      </c>
      <c r="AC13" s="29">
        <f t="shared" si="11"/>
        <v>0.14313942146268421</v>
      </c>
      <c r="AD13" s="29">
        <f t="shared" si="12"/>
        <v>0.21964520761189554</v>
      </c>
      <c r="AE13" s="29">
        <f t="shared" si="13"/>
        <v>0.28768606488208825</v>
      </c>
      <c r="AF13" s="29">
        <f t="shared" si="14"/>
        <v>-0.14604419828386916</v>
      </c>
      <c r="AG13" s="29">
        <f t="shared" si="15"/>
        <v>0.18512948016063691</v>
      </c>
      <c r="AH13" s="29">
        <f t="shared" si="16"/>
        <v>0.27661339356620473</v>
      </c>
      <c r="AI13" s="29">
        <f t="shared" si="17"/>
        <v>-1.0840200105599163E-2</v>
      </c>
      <c r="AJ13" s="29">
        <f t="shared" si="18"/>
        <v>-3.3021722990275948E-2</v>
      </c>
      <c r="AK13" s="29">
        <f t="shared" si="19"/>
        <v>0.15296948385991072</v>
      </c>
      <c r="AL13" s="29">
        <f t="shared" si="20"/>
        <v>0.18452771256080935</v>
      </c>
      <c r="AM13" s="29">
        <f t="shared" si="21"/>
        <v>-3.1180374920241061E-3</v>
      </c>
      <c r="AN13" s="29">
        <f t="shared" si="21"/>
        <v>6.1254210097196893E-3</v>
      </c>
      <c r="AO13" s="29">
        <f t="shared" si="21"/>
        <v>-3.8065132067337193E-2</v>
      </c>
    </row>
    <row r="14" spans="1:41" x14ac:dyDescent="0.2">
      <c r="B14" s="23" t="s">
        <v>24</v>
      </c>
      <c r="C14" s="2">
        <v>12114.263133050001</v>
      </c>
      <c r="D14" s="2">
        <f t="shared" ref="D14:L14" si="24">+D15+D16</f>
        <v>15448.6128623</v>
      </c>
      <c r="E14" s="2">
        <f t="shared" si="24"/>
        <v>14222.03345997</v>
      </c>
      <c r="F14" s="2">
        <f t="shared" si="24"/>
        <v>11705.955693079999</v>
      </c>
      <c r="G14" s="2">
        <f t="shared" si="24"/>
        <v>13229.161170129999</v>
      </c>
      <c r="H14" s="2">
        <f t="shared" si="24"/>
        <v>15323.81599503</v>
      </c>
      <c r="I14" s="2">
        <f t="shared" si="24"/>
        <v>16565.574675669999</v>
      </c>
      <c r="J14" s="2">
        <f t="shared" si="24"/>
        <v>14907.128684880001</v>
      </c>
      <c r="K14" s="2">
        <f t="shared" si="24"/>
        <v>16300.446705640001</v>
      </c>
      <c r="L14" s="2">
        <f t="shared" si="24"/>
        <v>18131.81654032</v>
      </c>
      <c r="M14" s="2">
        <f t="shared" ref="M14:V14" si="25">+M15+M16</f>
        <v>18653.209590530001</v>
      </c>
      <c r="N14" s="2">
        <f t="shared" si="25"/>
        <v>18650.40910388</v>
      </c>
      <c r="O14" s="2">
        <f t="shared" si="25"/>
        <v>20141.391824860002</v>
      </c>
      <c r="P14" s="2">
        <f t="shared" si="25"/>
        <v>15402.977132680002</v>
      </c>
      <c r="Q14" s="2">
        <f t="shared" si="25"/>
        <v>11687.784921760001</v>
      </c>
      <c r="R14" s="2">
        <f t="shared" si="25"/>
        <v>19328.521125809999</v>
      </c>
      <c r="S14" s="2">
        <f t="shared" si="25"/>
        <v>18726.893617009999</v>
      </c>
      <c r="T14" s="2">
        <f t="shared" si="25"/>
        <v>15879.729626100001</v>
      </c>
      <c r="U14" s="2">
        <f t="shared" si="25"/>
        <v>17912.728490770001</v>
      </c>
      <c r="V14" s="2">
        <f t="shared" si="25"/>
        <v>18025.233700640001</v>
      </c>
      <c r="W14" s="29">
        <f t="shared" si="5"/>
        <v>0.27524164636586623</v>
      </c>
      <c r="X14" s="29">
        <f t="shared" si="6"/>
        <v>-7.9397381063466277E-2</v>
      </c>
      <c r="Y14" s="29">
        <f t="shared" si="7"/>
        <v>-0.17691406604912518</v>
      </c>
      <c r="Z14" s="29">
        <f t="shared" si="8"/>
        <v>0.13012226570705776</v>
      </c>
      <c r="AA14" s="29">
        <f t="shared" si="9"/>
        <v>0.15833617853484938</v>
      </c>
      <c r="AB14" s="29">
        <f t="shared" si="10"/>
        <v>8.1034559605958512E-2</v>
      </c>
      <c r="AC14" s="29">
        <f t="shared" si="11"/>
        <v>-0.10011400288006744</v>
      </c>
      <c r="AD14" s="29">
        <f t="shared" si="12"/>
        <v>9.3466558866779792E-2</v>
      </c>
      <c r="AE14" s="29">
        <f t="shared" si="13"/>
        <v>0.11235089858281855</v>
      </c>
      <c r="AF14" s="29">
        <f t="shared" si="14"/>
        <v>2.8755698528637241E-2</v>
      </c>
      <c r="AG14" s="29">
        <f t="shared" si="15"/>
        <v>-1.501343045768877E-4</v>
      </c>
      <c r="AH14" s="29">
        <f t="shared" si="16"/>
        <v>7.9943700573829268E-2</v>
      </c>
      <c r="AI14" s="29">
        <f t="shared" si="17"/>
        <v>-0.23525755982421714</v>
      </c>
      <c r="AJ14" s="29">
        <f t="shared" si="18"/>
        <v>-0.24119961867875506</v>
      </c>
      <c r="AK14" s="29">
        <f t="shared" si="19"/>
        <v>0.65373689327775719</v>
      </c>
      <c r="AL14" s="29">
        <f t="shared" si="20"/>
        <v>-3.1126411838959922E-2</v>
      </c>
      <c r="AM14" s="29">
        <f t="shared" si="21"/>
        <v>-0.15203610642204235</v>
      </c>
      <c r="AN14" s="29">
        <f t="shared" si="21"/>
        <v>0.12802477828895475</v>
      </c>
      <c r="AO14" s="29">
        <f t="shared" si="21"/>
        <v>6.280741090223696E-3</v>
      </c>
    </row>
    <row r="15" spans="1:41" x14ac:dyDescent="0.2">
      <c r="B15" s="24" t="s">
        <v>35</v>
      </c>
      <c r="C15" s="2">
        <v>9944.8847878700017</v>
      </c>
      <c r="D15" s="2">
        <v>12560.861833120001</v>
      </c>
      <c r="E15" s="2">
        <v>11702.88282945</v>
      </c>
      <c r="F15" s="2">
        <v>9806.2219363899985</v>
      </c>
      <c r="G15" s="2">
        <v>11277.6300844</v>
      </c>
      <c r="H15" s="2">
        <v>12961.68439522</v>
      </c>
      <c r="I15" s="2">
        <v>14343.11574247</v>
      </c>
      <c r="J15" s="2">
        <v>13024.65067067</v>
      </c>
      <c r="K15" s="2">
        <v>14036.188380270001</v>
      </c>
      <c r="L15" s="2">
        <v>15553.62501768</v>
      </c>
      <c r="M15" s="2">
        <v>16008.753657370002</v>
      </c>
      <c r="N15" s="2">
        <v>16075.76618724</v>
      </c>
      <c r="O15" s="2">
        <v>17272.358315900001</v>
      </c>
      <c r="P15" s="2">
        <v>13376.816873450001</v>
      </c>
      <c r="Q15" s="2">
        <v>9698.6955716200009</v>
      </c>
      <c r="R15" s="2">
        <v>16369.606972899999</v>
      </c>
      <c r="S15" s="2">
        <v>14837.18937362</v>
      </c>
      <c r="T15" s="2">
        <v>13093.855617860001</v>
      </c>
      <c r="U15" s="2">
        <v>14812.250107510001</v>
      </c>
      <c r="V15" s="2">
        <v>15002.859422020001</v>
      </c>
      <c r="W15" s="29">
        <f t="shared" si="5"/>
        <v>0.26304749638133229</v>
      </c>
      <c r="X15" s="29">
        <f t="shared" si="6"/>
        <v>-6.830574327373895E-2</v>
      </c>
      <c r="Y15" s="29">
        <f t="shared" si="7"/>
        <v>-0.16206783582307627</v>
      </c>
      <c r="Z15" s="29">
        <f t="shared" si="8"/>
        <v>0.15004842410814101</v>
      </c>
      <c r="AA15" s="29">
        <f t="shared" si="9"/>
        <v>0.14932696836275028</v>
      </c>
      <c r="AB15" s="29">
        <f t="shared" si="10"/>
        <v>0.10657807312137946</v>
      </c>
      <c r="AC15" s="29">
        <f t="shared" si="11"/>
        <v>-9.1923198241789295E-2</v>
      </c>
      <c r="AD15" s="29">
        <f t="shared" si="12"/>
        <v>7.766332742250559E-2</v>
      </c>
      <c r="AE15" s="29">
        <f t="shared" si="13"/>
        <v>0.10810888229050764</v>
      </c>
      <c r="AF15" s="29">
        <f t="shared" si="14"/>
        <v>2.926190127206052E-2</v>
      </c>
      <c r="AG15" s="29">
        <f t="shared" si="15"/>
        <v>4.1859929451253386E-3</v>
      </c>
      <c r="AH15" s="29">
        <f t="shared" si="16"/>
        <v>7.443453174939707E-2</v>
      </c>
      <c r="AI15" s="29">
        <f t="shared" si="17"/>
        <v>-0.22553616426912437</v>
      </c>
      <c r="AJ15" s="29">
        <f t="shared" si="18"/>
        <v>-0.27496237233614607</v>
      </c>
      <c r="AK15" s="29">
        <f t="shared" si="19"/>
        <v>0.68781532032000214</v>
      </c>
      <c r="AL15" s="29">
        <f t="shared" si="20"/>
        <v>-9.3613585336344785E-2</v>
      </c>
      <c r="AM15" s="29">
        <f t="shared" si="21"/>
        <v>-0.1174975739582852</v>
      </c>
      <c r="AN15" s="29">
        <f t="shared" si="21"/>
        <v>0.13123670672724641</v>
      </c>
      <c r="AO15" s="29">
        <f t="shared" si="21"/>
        <v>1.2868356470254305E-2</v>
      </c>
    </row>
    <row r="16" spans="1:41" x14ac:dyDescent="0.2">
      <c r="B16" s="24" t="s">
        <v>36</v>
      </c>
      <c r="C16" s="2">
        <v>2169.37834518</v>
      </c>
      <c r="D16" s="2">
        <v>2887.7510291799999</v>
      </c>
      <c r="E16" s="2">
        <v>2519.15063052</v>
      </c>
      <c r="F16" s="2">
        <v>1899.7337566900001</v>
      </c>
      <c r="G16" s="2">
        <v>1951.5310857300001</v>
      </c>
      <c r="H16" s="2">
        <v>2362.1315998099999</v>
      </c>
      <c r="I16" s="2">
        <v>2222.4589331999996</v>
      </c>
      <c r="J16" s="2">
        <v>1882.4780142100001</v>
      </c>
      <c r="K16" s="2">
        <v>2264.25832537</v>
      </c>
      <c r="L16" s="2">
        <v>2578.1915226399997</v>
      </c>
      <c r="M16" s="2">
        <v>2644.4559331599999</v>
      </c>
      <c r="N16" s="2">
        <v>2574.6429166399998</v>
      </c>
      <c r="O16" s="2">
        <v>2869.0335089599998</v>
      </c>
      <c r="P16" s="2">
        <v>2026.1602592300001</v>
      </c>
      <c r="Q16" s="2">
        <v>1989.0893501400001</v>
      </c>
      <c r="R16" s="2">
        <v>2958.9141529099998</v>
      </c>
      <c r="S16" s="2">
        <v>3889.7042433899996</v>
      </c>
      <c r="T16" s="2">
        <v>2785.87400824</v>
      </c>
      <c r="U16" s="2">
        <v>3100.4783832600001</v>
      </c>
      <c r="V16" s="2">
        <v>3022.37427862</v>
      </c>
      <c r="W16" s="29">
        <f t="shared" si="5"/>
        <v>0.33114218439402476</v>
      </c>
      <c r="X16" s="29">
        <f t="shared" si="6"/>
        <v>-0.12764272090474049</v>
      </c>
      <c r="Y16" s="29">
        <f t="shared" si="7"/>
        <v>-0.24588322203747726</v>
      </c>
      <c r="Z16" s="29">
        <f t="shared" si="8"/>
        <v>2.7265572798079285E-2</v>
      </c>
      <c r="AA16" s="29">
        <f t="shared" si="9"/>
        <v>0.21039916662480862</v>
      </c>
      <c r="AB16" s="29">
        <f t="shared" si="10"/>
        <v>-5.9129925962310925E-2</v>
      </c>
      <c r="AC16" s="29">
        <f t="shared" si="11"/>
        <v>-0.15297511864504021</v>
      </c>
      <c r="AD16" s="29">
        <f t="shared" si="12"/>
        <v>0.20280731476177039</v>
      </c>
      <c r="AE16" s="29">
        <f t="shared" si="13"/>
        <v>0.13864725316564752</v>
      </c>
      <c r="AF16" s="29">
        <f t="shared" si="14"/>
        <v>2.5701896053147877E-2</v>
      </c>
      <c r="AG16" s="29">
        <f t="shared" si="15"/>
        <v>-2.6399765503589578E-2</v>
      </c>
      <c r="AH16" s="29">
        <f t="shared" si="16"/>
        <v>0.1143422998262571</v>
      </c>
      <c r="AI16" s="29">
        <f t="shared" si="17"/>
        <v>-0.29378299245990125</v>
      </c>
      <c r="AJ16" s="29">
        <f t="shared" si="18"/>
        <v>-1.8296138679616547E-2</v>
      </c>
      <c r="AK16" s="29">
        <f t="shared" si="19"/>
        <v>0.48757226652575447</v>
      </c>
      <c r="AL16" s="29">
        <f t="shared" si="20"/>
        <v>0.31457150913438858</v>
      </c>
      <c r="AM16" s="29">
        <f t="shared" si="21"/>
        <v>-0.28378256188135709</v>
      </c>
      <c r="AN16" s="29">
        <f t="shared" si="21"/>
        <v>0.11292842895603683</v>
      </c>
      <c r="AO16" s="29">
        <f t="shared" si="21"/>
        <v>-2.5190985062723548E-2</v>
      </c>
    </row>
    <row r="17" spans="2:41" x14ac:dyDescent="0.2">
      <c r="B17" s="23" t="s">
        <v>25</v>
      </c>
      <c r="C17" s="2">
        <v>65.800500240000005</v>
      </c>
      <c r="D17" s="2">
        <f t="shared" ref="D17:I17" si="26">+D18+D19</f>
        <v>250.42794294000001</v>
      </c>
      <c r="E17" s="2">
        <f t="shared" si="26"/>
        <v>285.67927430999998</v>
      </c>
      <c r="F17" s="2">
        <f t="shared" si="26"/>
        <v>420.23497434000001</v>
      </c>
      <c r="G17" s="2">
        <f t="shared" si="26"/>
        <v>347.03798497000002</v>
      </c>
      <c r="H17" s="2">
        <f t="shared" si="26"/>
        <v>362.68784527000003</v>
      </c>
      <c r="I17" s="2">
        <f t="shared" si="26"/>
        <v>377.63078543</v>
      </c>
      <c r="J17" s="2">
        <f t="shared" ref="J17:O17" si="27">+J18+J19+J20</f>
        <v>1169.5388037799999</v>
      </c>
      <c r="K17" s="2">
        <f t="shared" si="27"/>
        <v>373.23395206999999</v>
      </c>
      <c r="L17" s="2">
        <f t="shared" si="27"/>
        <v>372.40658603999998</v>
      </c>
      <c r="M17" s="2">
        <f t="shared" si="27"/>
        <v>450.84558547000006</v>
      </c>
      <c r="N17" s="2">
        <f t="shared" si="27"/>
        <v>517.17724056999998</v>
      </c>
      <c r="O17" s="2">
        <f t="shared" si="27"/>
        <v>502.12652009999999</v>
      </c>
      <c r="P17" s="2">
        <f t="shared" ref="P17:V17" si="28">+P18+P19+P20</f>
        <v>454.16284925000002</v>
      </c>
      <c r="Q17" s="2">
        <f t="shared" si="28"/>
        <v>489.37475548000003</v>
      </c>
      <c r="R17" s="2">
        <f t="shared" si="28"/>
        <v>453.61572039999999</v>
      </c>
      <c r="S17" s="2">
        <f t="shared" si="28"/>
        <v>497.54405268999994</v>
      </c>
      <c r="T17" s="2">
        <f t="shared" si="28"/>
        <v>418.97828363999997</v>
      </c>
      <c r="U17" s="2">
        <f t="shared" si="28"/>
        <v>408.50606659999994</v>
      </c>
      <c r="V17" s="2">
        <f t="shared" si="28"/>
        <v>407.84448486999997</v>
      </c>
      <c r="W17" s="29">
        <f t="shared" si="5"/>
        <v>2.8058668555192123</v>
      </c>
      <c r="X17" s="29">
        <f t="shared" si="6"/>
        <v>0.14076436900831713</v>
      </c>
      <c r="Y17" s="29">
        <f t="shared" si="7"/>
        <v>0.47100266673174618</v>
      </c>
      <c r="Z17" s="29">
        <f t="shared" si="8"/>
        <v>-0.17418109828902151</v>
      </c>
      <c r="AA17" s="29">
        <f t="shared" si="9"/>
        <v>4.5095525498031197E-2</v>
      </c>
      <c r="AB17" s="29">
        <f t="shared" si="10"/>
        <v>4.120055401601852E-2</v>
      </c>
      <c r="AC17" s="29">
        <f t="shared" si="11"/>
        <v>2.0970430613814268</v>
      </c>
      <c r="AD17" s="29">
        <f t="shared" si="12"/>
        <v>-0.68087082629178974</v>
      </c>
      <c r="AE17" s="29">
        <f t="shared" si="13"/>
        <v>-2.2167491071252154E-3</v>
      </c>
      <c r="AF17" s="29">
        <f t="shared" si="14"/>
        <v>0.21062731533317991</v>
      </c>
      <c r="AG17" s="29">
        <f t="shared" si="15"/>
        <v>0.14712721436730969</v>
      </c>
      <c r="AH17" s="29">
        <f t="shared" si="16"/>
        <v>-2.9101668227727973E-2</v>
      </c>
      <c r="AI17" s="29">
        <f t="shared" si="17"/>
        <v>-9.5521086678408973E-2</v>
      </c>
      <c r="AJ17" s="29">
        <f t="shared" si="18"/>
        <v>7.753145438502651E-2</v>
      </c>
      <c r="AK17" s="29">
        <f t="shared" si="19"/>
        <v>-7.3070861705822998E-2</v>
      </c>
      <c r="AL17" s="29">
        <f t="shared" si="20"/>
        <v>9.6840409876588485E-2</v>
      </c>
      <c r="AM17" s="29">
        <f t="shared" si="21"/>
        <v>-0.15790716143672046</v>
      </c>
      <c r="AN17" s="29">
        <f t="shared" si="21"/>
        <v>-2.4994653539127332E-2</v>
      </c>
      <c r="AO17" s="29">
        <f t="shared" si="21"/>
        <v>-1.6195150674415126E-3</v>
      </c>
    </row>
    <row r="18" spans="2:41" x14ac:dyDescent="0.2">
      <c r="B18" s="24" t="s">
        <v>37</v>
      </c>
      <c r="C18" s="2">
        <v>65.800500240000005</v>
      </c>
      <c r="D18" s="2">
        <v>15.36411672</v>
      </c>
      <c r="E18" s="2">
        <v>10.731001599999999</v>
      </c>
      <c r="F18" s="2">
        <v>15.22878</v>
      </c>
      <c r="G18" s="2">
        <v>13.988068500000001</v>
      </c>
      <c r="H18" s="2">
        <v>14.687898000000001</v>
      </c>
      <c r="I18" s="2">
        <v>16.206322499999999</v>
      </c>
      <c r="J18" s="2">
        <v>19.276949999999999</v>
      </c>
      <c r="K18" s="2">
        <v>12.8674845</v>
      </c>
      <c r="L18" s="2">
        <v>13.050033000000001</v>
      </c>
      <c r="M18" s="2">
        <v>16.290232499999998</v>
      </c>
      <c r="N18" s="2">
        <v>18.3973215</v>
      </c>
      <c r="O18" s="2">
        <v>16.818131999999999</v>
      </c>
      <c r="P18" s="2">
        <v>15.5176905</v>
      </c>
      <c r="Q18" s="2">
        <v>16.403234999999999</v>
      </c>
      <c r="R18" s="2">
        <v>13.6373295</v>
      </c>
      <c r="S18" s="2">
        <v>15.894322499999999</v>
      </c>
      <c r="T18" s="2">
        <v>15.918499499999999</v>
      </c>
      <c r="U18" s="2">
        <v>15.013199999999999</v>
      </c>
      <c r="V18" s="2">
        <v>14.983692</v>
      </c>
      <c r="W18" s="29">
        <f t="shared" si="5"/>
        <v>-0.76650456054344429</v>
      </c>
      <c r="X18" s="29">
        <f t="shared" si="6"/>
        <v>-0.30155427770012422</v>
      </c>
      <c r="Y18" s="29">
        <f t="shared" si="7"/>
        <v>0.41913873165390281</v>
      </c>
      <c r="Z18" s="29">
        <f t="shared" si="8"/>
        <v>-8.1471496731845838E-2</v>
      </c>
      <c r="AA18" s="29">
        <f t="shared" si="9"/>
        <v>5.0030459888011025E-2</v>
      </c>
      <c r="AB18" s="29">
        <f t="shared" si="10"/>
        <v>0.1033792922581569</v>
      </c>
      <c r="AC18" s="29">
        <f t="shared" si="11"/>
        <v>0.18947096110175532</v>
      </c>
      <c r="AD18" s="29">
        <f t="shared" si="12"/>
        <v>-0.33249375549555293</v>
      </c>
      <c r="AE18" s="29">
        <f t="shared" si="13"/>
        <v>1.4186805509655009E-2</v>
      </c>
      <c r="AF18" s="29">
        <f t="shared" si="14"/>
        <v>0.24829052156419817</v>
      </c>
      <c r="AG18" s="29">
        <f t="shared" si="15"/>
        <v>0.12934677267497574</v>
      </c>
      <c r="AH18" s="29">
        <f t="shared" si="16"/>
        <v>-8.5838011799706959E-2</v>
      </c>
      <c r="AI18" s="29">
        <f t="shared" si="17"/>
        <v>-7.7323777694217055E-2</v>
      </c>
      <c r="AJ18" s="29">
        <f t="shared" si="18"/>
        <v>5.7066771630739588E-2</v>
      </c>
      <c r="AK18" s="29">
        <f t="shared" si="19"/>
        <v>-0.16861951316310464</v>
      </c>
      <c r="AL18" s="29">
        <f t="shared" si="20"/>
        <v>0.16550109755725995</v>
      </c>
      <c r="AM18" s="29">
        <f t="shared" si="21"/>
        <v>1.5211091885167782E-3</v>
      </c>
      <c r="AN18" s="29">
        <f t="shared" si="21"/>
        <v>-5.6870906708261004E-2</v>
      </c>
      <c r="AO18" s="29">
        <f t="shared" si="21"/>
        <v>-1.9654703860602085E-3</v>
      </c>
    </row>
    <row r="19" spans="2:41" x14ac:dyDescent="0.2">
      <c r="B19" s="24" t="s">
        <v>38</v>
      </c>
      <c r="C19" s="2">
        <v>0</v>
      </c>
      <c r="D19" s="2">
        <v>235.06382622000001</v>
      </c>
      <c r="E19" s="2">
        <v>274.94827270999997</v>
      </c>
      <c r="F19" s="2">
        <v>405.00619434000004</v>
      </c>
      <c r="G19" s="2">
        <v>333.04991647000003</v>
      </c>
      <c r="H19" s="2">
        <v>347.99994727000001</v>
      </c>
      <c r="I19" s="2">
        <v>361.42446293</v>
      </c>
      <c r="J19" s="2">
        <v>1024.75343828</v>
      </c>
      <c r="K19" s="2">
        <v>226.02030857</v>
      </c>
      <c r="L19" s="2">
        <v>225.56513479</v>
      </c>
      <c r="M19" s="2">
        <v>294.50994797000004</v>
      </c>
      <c r="N19" s="2">
        <v>342.80603357000001</v>
      </c>
      <c r="O19" s="2">
        <v>329.91846335000002</v>
      </c>
      <c r="P19" s="2">
        <v>291.90284350000002</v>
      </c>
      <c r="Q19" s="2">
        <v>326.94776023000003</v>
      </c>
      <c r="R19" s="2">
        <v>277.57093589999999</v>
      </c>
      <c r="S19" s="2">
        <v>320.18114369</v>
      </c>
      <c r="T19" s="2">
        <v>274.82116063999996</v>
      </c>
      <c r="U19" s="2">
        <v>254.32224984999999</v>
      </c>
      <c r="V19" s="2">
        <v>248.18568261999999</v>
      </c>
      <c r="W19" s="44" t="e">
        <f t="shared" si="5"/>
        <v>#DIV/0!</v>
      </c>
      <c r="X19" s="29">
        <f t="shared" si="6"/>
        <v>0.16967496501427437</v>
      </c>
      <c r="Y19" s="29">
        <f t="shared" si="7"/>
        <v>0.47302687282992273</v>
      </c>
      <c r="Z19" s="29">
        <f t="shared" si="8"/>
        <v>-0.177667104542093</v>
      </c>
      <c r="AA19" s="29">
        <f t="shared" si="9"/>
        <v>4.4888258668416725E-2</v>
      </c>
      <c r="AB19" s="29">
        <f t="shared" si="10"/>
        <v>3.8576200270468597E-2</v>
      </c>
      <c r="AC19" s="29">
        <f t="shared" si="11"/>
        <v>1.8353184230323452</v>
      </c>
      <c r="AD19" s="29">
        <f t="shared" si="12"/>
        <v>-0.77943932644972203</v>
      </c>
      <c r="AE19" s="29">
        <f t="shared" si="13"/>
        <v>-2.0138623067981198E-3</v>
      </c>
      <c r="AF19" s="29">
        <f t="shared" si="14"/>
        <v>0.30565367845605795</v>
      </c>
      <c r="AG19" s="29">
        <f t="shared" si="15"/>
        <v>0.16398796011100991</v>
      </c>
      <c r="AH19" s="29">
        <f t="shared" si="16"/>
        <v>-3.7594350618010308E-2</v>
      </c>
      <c r="AI19" s="29">
        <f t="shared" si="17"/>
        <v>-0.11522731848344736</v>
      </c>
      <c r="AJ19" s="29">
        <f t="shared" si="18"/>
        <v>0.12005678433893019</v>
      </c>
      <c r="AK19" s="29">
        <f t="shared" si="19"/>
        <v>-0.15102358950330352</v>
      </c>
      <c r="AL19" s="29">
        <f t="shared" si="20"/>
        <v>0.15351105709911606</v>
      </c>
      <c r="AM19" s="29">
        <f t="shared" si="21"/>
        <v>-0.14166975146393279</v>
      </c>
      <c r="AN19" s="29">
        <f t="shared" si="21"/>
        <v>-7.4590001520488336E-2</v>
      </c>
      <c r="AO19" s="29">
        <f t="shared" si="21"/>
        <v>-2.412910090886411E-2</v>
      </c>
    </row>
    <row r="20" spans="2:41" x14ac:dyDescent="0.2">
      <c r="B20" s="24" t="s">
        <v>49</v>
      </c>
      <c r="C20" s="2"/>
      <c r="D20" s="2"/>
      <c r="E20" s="2"/>
      <c r="F20" s="2"/>
      <c r="G20" s="2">
        <v>0</v>
      </c>
      <c r="H20" s="2">
        <v>0</v>
      </c>
      <c r="I20" s="2">
        <v>0</v>
      </c>
      <c r="J20" s="2">
        <v>125.5084155</v>
      </c>
      <c r="K20" s="2">
        <v>134.346159</v>
      </c>
      <c r="L20" s="2">
        <v>133.79141824999999</v>
      </c>
      <c r="M20" s="2">
        <v>140.04540499999999</v>
      </c>
      <c r="N20" s="2">
        <v>155.97388549999999</v>
      </c>
      <c r="O20" s="2">
        <v>155.38992475000001</v>
      </c>
      <c r="P20" s="2">
        <v>146.74231524999999</v>
      </c>
      <c r="Q20" s="2">
        <v>146.02376025000001</v>
      </c>
      <c r="R20" s="2">
        <v>162.407455</v>
      </c>
      <c r="S20" s="2">
        <v>161.46858649999999</v>
      </c>
      <c r="T20" s="2">
        <v>128.23862349999999</v>
      </c>
      <c r="U20" s="2">
        <v>139.17061674999999</v>
      </c>
      <c r="V20" s="2">
        <v>144.67511024999999</v>
      </c>
      <c r="W20" s="44" t="e">
        <f t="shared" si="5"/>
        <v>#DIV/0!</v>
      </c>
      <c r="X20" s="44" t="e">
        <f t="shared" si="6"/>
        <v>#DIV/0!</v>
      </c>
      <c r="Y20" s="44" t="e">
        <f t="shared" si="7"/>
        <v>#DIV/0!</v>
      </c>
      <c r="Z20" s="44" t="e">
        <f t="shared" si="8"/>
        <v>#DIV/0!</v>
      </c>
      <c r="AA20" s="44" t="e">
        <f t="shared" si="9"/>
        <v>#DIV/0!</v>
      </c>
      <c r="AB20" s="44" t="e">
        <f t="shared" si="10"/>
        <v>#DIV/0!</v>
      </c>
      <c r="AC20" s="44" t="e">
        <f t="shared" si="11"/>
        <v>#DIV/0!</v>
      </c>
      <c r="AD20" s="29">
        <f t="shared" si="12"/>
        <v>7.0415545163184712E-2</v>
      </c>
      <c r="AE20" s="29">
        <f t="shared" si="13"/>
        <v>-4.129189506638653E-3</v>
      </c>
      <c r="AF20" s="29">
        <f t="shared" si="14"/>
        <v>4.674430416989761E-2</v>
      </c>
      <c r="AG20" s="29">
        <f t="shared" si="15"/>
        <v>0.11373797305238265</v>
      </c>
      <c r="AH20" s="29">
        <f t="shared" si="16"/>
        <v>-3.7439648831469885E-3</v>
      </c>
      <c r="AI20" s="29">
        <f t="shared" si="17"/>
        <v>-5.5651030875475183E-2</v>
      </c>
      <c r="AJ20" s="29">
        <f t="shared" si="18"/>
        <v>-4.8967129813632937E-3</v>
      </c>
      <c r="AK20" s="29">
        <f t="shared" si="19"/>
        <v>0.11219882793012781</v>
      </c>
      <c r="AL20" s="29">
        <f t="shared" si="20"/>
        <v>-5.7809446001109155E-3</v>
      </c>
      <c r="AM20" s="29">
        <f t="shared" si="21"/>
        <v>-0.20579831483196886</v>
      </c>
      <c r="AN20" s="29">
        <f t="shared" si="21"/>
        <v>8.5247275365522013E-2</v>
      </c>
      <c r="AO20" s="29">
        <f t="shared" si="21"/>
        <v>3.9552124065728833E-2</v>
      </c>
    </row>
    <row r="21" spans="2:41" x14ac:dyDescent="0.2">
      <c r="B21" s="23" t="s">
        <v>26</v>
      </c>
      <c r="C21" s="2">
        <v>62535.551586589994</v>
      </c>
      <c r="D21" s="2">
        <f t="shared" ref="D21:L21" si="29">+D22+D23</f>
        <v>77369.294211469998</v>
      </c>
      <c r="E21" s="2">
        <f t="shared" si="29"/>
        <v>72362.128833070004</v>
      </c>
      <c r="F21" s="2">
        <f t="shared" si="29"/>
        <v>73247.388367120002</v>
      </c>
      <c r="G21" s="2">
        <f t="shared" si="29"/>
        <v>82647.507089990017</v>
      </c>
      <c r="H21" s="2">
        <f t="shared" si="29"/>
        <v>94816.542781759985</v>
      </c>
      <c r="I21" s="2">
        <f t="shared" si="29"/>
        <v>99419.402949850002</v>
      </c>
      <c r="J21" s="2">
        <f t="shared" si="29"/>
        <v>103588.59570577</v>
      </c>
      <c r="K21" s="2">
        <f t="shared" si="29"/>
        <v>105881.47905657</v>
      </c>
      <c r="L21" s="2">
        <f t="shared" si="29"/>
        <v>119681.79242041</v>
      </c>
      <c r="M21" s="2">
        <f t="shared" ref="M21:V21" si="30">+M22+M23</f>
        <v>129642.63101678</v>
      </c>
      <c r="N21" s="2">
        <f t="shared" si="30"/>
        <v>131148.43486722998</v>
      </c>
      <c r="O21" s="2">
        <f t="shared" si="30"/>
        <v>138488.66024919</v>
      </c>
      <c r="P21" s="2">
        <f t="shared" si="30"/>
        <v>151938.16790479</v>
      </c>
      <c r="Q21" s="2">
        <f t="shared" si="30"/>
        <v>153969.75066116999</v>
      </c>
      <c r="R21" s="2">
        <f t="shared" si="30"/>
        <v>188389.40279334004</v>
      </c>
      <c r="S21" s="2">
        <f t="shared" si="30"/>
        <v>203786.78858893999</v>
      </c>
      <c r="T21" s="2">
        <f t="shared" si="30"/>
        <v>191857.29072743998</v>
      </c>
      <c r="U21" s="2">
        <f t="shared" si="30"/>
        <v>198836.32233366999</v>
      </c>
      <c r="V21" s="2">
        <f t="shared" si="30"/>
        <v>178621.05337526</v>
      </c>
      <c r="W21" s="29">
        <f t="shared" si="5"/>
        <v>0.23720495379880724</v>
      </c>
      <c r="X21" s="29">
        <f t="shared" si="6"/>
        <v>-6.4717733687916779E-2</v>
      </c>
      <c r="Y21" s="29">
        <f t="shared" si="7"/>
        <v>1.2233740885265743E-2</v>
      </c>
      <c r="Z21" s="29">
        <f t="shared" si="8"/>
        <v>0.1283338414163806</v>
      </c>
      <c r="AA21" s="29">
        <f t="shared" si="9"/>
        <v>0.14724020264180293</v>
      </c>
      <c r="AB21" s="29">
        <f t="shared" si="10"/>
        <v>4.854490612133433E-2</v>
      </c>
      <c r="AC21" s="29">
        <f t="shared" si="11"/>
        <v>4.1935403273574812E-2</v>
      </c>
      <c r="AD21" s="29">
        <f t="shared" si="12"/>
        <v>2.2134515244444763E-2</v>
      </c>
      <c r="AE21" s="29">
        <f t="shared" si="13"/>
        <v>0.13033736860123413</v>
      </c>
      <c r="AF21" s="29">
        <f t="shared" si="14"/>
        <v>8.3227685639769122E-2</v>
      </c>
      <c r="AG21" s="29">
        <f t="shared" si="15"/>
        <v>1.1615036185551375E-2</v>
      </c>
      <c r="AH21" s="29">
        <f t="shared" si="16"/>
        <v>5.5968837061540322E-2</v>
      </c>
      <c r="AI21" s="29">
        <f t="shared" si="17"/>
        <v>9.7116309966459147E-2</v>
      </c>
      <c r="AJ21" s="29">
        <f t="shared" si="18"/>
        <v>1.3371115266132882E-2</v>
      </c>
      <c r="AK21" s="29">
        <f t="shared" si="19"/>
        <v>0.22354814490746855</v>
      </c>
      <c r="AL21" s="29">
        <f t="shared" si="20"/>
        <v>8.1731698106663808E-2</v>
      </c>
      <c r="AM21" s="29">
        <f t="shared" si="21"/>
        <v>-5.8539113080402383E-2</v>
      </c>
      <c r="AN21" s="29">
        <f t="shared" si="21"/>
        <v>3.6376160529362878E-2</v>
      </c>
      <c r="AO21" s="29">
        <f t="shared" si="21"/>
        <v>-0.10166788804555771</v>
      </c>
    </row>
    <row r="22" spans="2:41" x14ac:dyDescent="0.2">
      <c r="B22" s="24" t="s">
        <v>27</v>
      </c>
      <c r="C22" s="2">
        <v>27381.87511538</v>
      </c>
      <c r="D22" s="2">
        <v>32418.67214631</v>
      </c>
      <c r="E22" s="2">
        <v>33902.936597890002</v>
      </c>
      <c r="F22" s="2">
        <v>37145.53304396</v>
      </c>
      <c r="G22" s="2">
        <v>40347.638503550006</v>
      </c>
      <c r="H22" s="2">
        <v>41833.418513669996</v>
      </c>
      <c r="I22" s="2">
        <v>46327.435829760005</v>
      </c>
      <c r="J22" s="2">
        <v>48724.859364060001</v>
      </c>
      <c r="K22" s="2">
        <v>48791.448147609997</v>
      </c>
      <c r="L22" s="2">
        <v>55470.410421010005</v>
      </c>
      <c r="M22" s="2">
        <v>59740.820844169997</v>
      </c>
      <c r="N22" s="2">
        <v>59459.944417779996</v>
      </c>
      <c r="O22" s="2">
        <v>62163.188710480004</v>
      </c>
      <c r="P22" s="2">
        <v>89254.386967399987</v>
      </c>
      <c r="Q22" s="2">
        <v>91762.974716779994</v>
      </c>
      <c r="R22" s="2">
        <v>99169.130039270007</v>
      </c>
      <c r="S22" s="2">
        <v>116837.46149764</v>
      </c>
      <c r="T22" s="2">
        <v>112096.21766750999</v>
      </c>
      <c r="U22" s="2">
        <v>116166.81170259</v>
      </c>
      <c r="V22" s="2">
        <v>99016.911824809999</v>
      </c>
      <c r="W22" s="29">
        <f t="shared" si="5"/>
        <v>0.18394638824792908</v>
      </c>
      <c r="X22" s="29">
        <f t="shared" si="6"/>
        <v>4.5784245723615946E-2</v>
      </c>
      <c r="Y22" s="29">
        <f t="shared" si="7"/>
        <v>9.5643527418560081E-2</v>
      </c>
      <c r="Z22" s="29">
        <f t="shared" si="8"/>
        <v>8.6204321144091933E-2</v>
      </c>
      <c r="AA22" s="29">
        <f t="shared" si="9"/>
        <v>3.6824460246645208E-2</v>
      </c>
      <c r="AB22" s="29">
        <f t="shared" si="10"/>
        <v>0.1074264900111257</v>
      </c>
      <c r="AC22" s="29">
        <f t="shared" si="11"/>
        <v>5.1749540879185263E-2</v>
      </c>
      <c r="AD22" s="29">
        <f t="shared" si="12"/>
        <v>1.3666285427826885E-3</v>
      </c>
      <c r="AE22" s="29">
        <f t="shared" si="13"/>
        <v>0.13688796965390271</v>
      </c>
      <c r="AF22" s="29">
        <f t="shared" si="14"/>
        <v>7.6985376360989122E-2</v>
      </c>
      <c r="AG22" s="29">
        <f t="shared" si="15"/>
        <v>-4.7015829782895979E-3</v>
      </c>
      <c r="AH22" s="29">
        <f t="shared" si="16"/>
        <v>4.5463283209724592E-2</v>
      </c>
      <c r="AI22" s="29">
        <f t="shared" si="17"/>
        <v>0.43580773153537922</v>
      </c>
      <c r="AJ22" s="29">
        <f t="shared" si="18"/>
        <v>2.81060442473966E-2</v>
      </c>
      <c r="AK22" s="29">
        <f t="shared" si="19"/>
        <v>8.0709625481830694E-2</v>
      </c>
      <c r="AL22" s="29">
        <f t="shared" si="20"/>
        <v>0.17816362260487217</v>
      </c>
      <c r="AM22" s="29">
        <f t="shared" si="21"/>
        <v>-4.0579825762696697E-2</v>
      </c>
      <c r="AN22" s="29">
        <f t="shared" si="21"/>
        <v>3.6313393259653548E-2</v>
      </c>
      <c r="AO22" s="29">
        <f t="shared" si="21"/>
        <v>-0.1476316654165144</v>
      </c>
    </row>
    <row r="23" spans="2:41" x14ac:dyDescent="0.2">
      <c r="B23" s="24" t="s">
        <v>28</v>
      </c>
      <c r="C23" s="2">
        <v>35153.676471209998</v>
      </c>
      <c r="D23" s="2">
        <v>44950.622065160002</v>
      </c>
      <c r="E23" s="2">
        <v>38459.192235180002</v>
      </c>
      <c r="F23" s="2">
        <v>36101.855323160002</v>
      </c>
      <c r="G23" s="2">
        <v>42299.868586440003</v>
      </c>
      <c r="H23" s="2">
        <v>52983.124268089996</v>
      </c>
      <c r="I23" s="2">
        <v>53091.967120089997</v>
      </c>
      <c r="J23" s="2">
        <v>54863.736341709999</v>
      </c>
      <c r="K23" s="2">
        <v>57090.030908959998</v>
      </c>
      <c r="L23" s="2">
        <v>64211.3819994</v>
      </c>
      <c r="M23" s="2">
        <v>69901.810172609999</v>
      </c>
      <c r="N23" s="2">
        <v>71688.490449449993</v>
      </c>
      <c r="O23" s="2">
        <v>76325.47153871</v>
      </c>
      <c r="P23" s="2">
        <v>62683.780937390002</v>
      </c>
      <c r="Q23" s="2">
        <v>62206.775944389999</v>
      </c>
      <c r="R23" s="2">
        <v>89220.272754070014</v>
      </c>
      <c r="S23" s="2">
        <v>86949.327091300001</v>
      </c>
      <c r="T23" s="2">
        <v>79761.073059929986</v>
      </c>
      <c r="U23" s="2">
        <v>82669.510631080004</v>
      </c>
      <c r="V23" s="2">
        <v>79604.141550450004</v>
      </c>
      <c r="W23" s="29">
        <f t="shared" si="5"/>
        <v>0.2786890754363478</v>
      </c>
      <c r="X23" s="29">
        <f t="shared" si="6"/>
        <v>-0.14441245819846682</v>
      </c>
      <c r="Y23" s="29">
        <f t="shared" si="7"/>
        <v>-6.1294498792506147E-2</v>
      </c>
      <c r="Z23" s="29">
        <f t="shared" si="8"/>
        <v>0.17168129470908</v>
      </c>
      <c r="AA23" s="29">
        <f t="shared" si="9"/>
        <v>0.25256002060192473</v>
      </c>
      <c r="AB23" s="29">
        <f t="shared" si="10"/>
        <v>2.054292824433368E-3</v>
      </c>
      <c r="AC23" s="29">
        <f t="shared" si="11"/>
        <v>3.3371700423387773E-2</v>
      </c>
      <c r="AD23" s="29">
        <f t="shared" si="12"/>
        <v>4.0578617420145902E-2</v>
      </c>
      <c r="AE23" s="29">
        <f t="shared" si="13"/>
        <v>0.12473896014868591</v>
      </c>
      <c r="AF23" s="29">
        <f t="shared" si="14"/>
        <v>8.8620241396816013E-2</v>
      </c>
      <c r="AG23" s="29">
        <f t="shared" si="15"/>
        <v>2.5559857068480962E-2</v>
      </c>
      <c r="AH23" s="29">
        <f t="shared" si="16"/>
        <v>6.4682364772762346E-2</v>
      </c>
      <c r="AI23" s="29">
        <f t="shared" si="17"/>
        <v>-0.17873051192879086</v>
      </c>
      <c r="AJ23" s="29">
        <f t="shared" si="18"/>
        <v>-7.6097035926477874E-3</v>
      </c>
      <c r="AK23" s="29">
        <f t="shared" si="19"/>
        <v>0.43425328510561045</v>
      </c>
      <c r="AL23" s="29">
        <f t="shared" si="20"/>
        <v>-2.5453247257265499E-2</v>
      </c>
      <c r="AM23" s="29">
        <f t="shared" si="21"/>
        <v>-8.2671761494164109E-2</v>
      </c>
      <c r="AN23" s="29">
        <f t="shared" si="21"/>
        <v>3.6464373654611082E-2</v>
      </c>
      <c r="AO23" s="29">
        <f t="shared" si="21"/>
        <v>-3.7079801939429391E-2</v>
      </c>
    </row>
    <row r="24" spans="2:41" x14ac:dyDescent="0.2">
      <c r="B24" s="23" t="s">
        <v>29</v>
      </c>
      <c r="C24" s="2">
        <v>11711.533160139999</v>
      </c>
      <c r="D24" s="2">
        <f t="shared" ref="D24:L24" si="31">+D25+D26</f>
        <v>16735.09768667</v>
      </c>
      <c r="E24" s="2">
        <f t="shared" si="31"/>
        <v>11457.14436532</v>
      </c>
      <c r="F24" s="2">
        <f t="shared" si="31"/>
        <v>11229.105849940001</v>
      </c>
      <c r="G24" s="2">
        <f t="shared" si="31"/>
        <v>14588.969387510002</v>
      </c>
      <c r="H24" s="2">
        <f t="shared" si="31"/>
        <v>18167.253984499999</v>
      </c>
      <c r="I24" s="2">
        <f t="shared" si="31"/>
        <v>18769.01350089</v>
      </c>
      <c r="J24" s="2">
        <f t="shared" si="31"/>
        <v>18172.21279528</v>
      </c>
      <c r="K24" s="2">
        <f t="shared" si="31"/>
        <v>20021.850006500001</v>
      </c>
      <c r="L24" s="2">
        <f t="shared" si="31"/>
        <v>24657.46478971</v>
      </c>
      <c r="M24" s="2">
        <f t="shared" ref="M24:V24" si="32">+M25+M26</f>
        <v>25904.069168829996</v>
      </c>
      <c r="N24" s="2">
        <f t="shared" si="32"/>
        <v>24501.008450830002</v>
      </c>
      <c r="O24" s="2">
        <f t="shared" si="32"/>
        <v>23321.963667880002</v>
      </c>
      <c r="P24" s="2">
        <f t="shared" si="32"/>
        <v>19634.182476949998</v>
      </c>
      <c r="Q24" s="2">
        <f t="shared" si="32"/>
        <v>13140.64256341</v>
      </c>
      <c r="R24" s="2">
        <f t="shared" si="32"/>
        <v>23135.771384570002</v>
      </c>
      <c r="S24" s="2">
        <f t="shared" si="32"/>
        <v>26383.358971119997</v>
      </c>
      <c r="T24" s="2">
        <f t="shared" si="32"/>
        <v>27104.20510929</v>
      </c>
      <c r="U24" s="2">
        <f t="shared" si="32"/>
        <v>28056.824157820003</v>
      </c>
      <c r="V24" s="2">
        <f t="shared" si="32"/>
        <v>28920.968096919998</v>
      </c>
      <c r="W24" s="29">
        <f t="shared" si="5"/>
        <v>0.42894166441227499</v>
      </c>
      <c r="X24" s="29">
        <f t="shared" si="6"/>
        <v>-0.31538228340035601</v>
      </c>
      <c r="Y24" s="29">
        <f t="shared" si="7"/>
        <v>-1.9903608448040289E-2</v>
      </c>
      <c r="Z24" s="29">
        <f t="shared" si="8"/>
        <v>0.29921024723334977</v>
      </c>
      <c r="AA24" s="29">
        <f t="shared" si="9"/>
        <v>0.24527329531950759</v>
      </c>
      <c r="AB24" s="29">
        <f t="shared" si="10"/>
        <v>3.3123306191646273E-2</v>
      </c>
      <c r="AC24" s="29">
        <f t="shared" si="11"/>
        <v>-3.1797126981751078E-2</v>
      </c>
      <c r="AD24" s="29">
        <f t="shared" si="12"/>
        <v>0.10178381862776886</v>
      </c>
      <c r="AE24" s="29">
        <f t="shared" si="13"/>
        <v>0.23152779496924958</v>
      </c>
      <c r="AF24" s="29">
        <f t="shared" si="14"/>
        <v>5.0556875564929271E-2</v>
      </c>
      <c r="AG24" s="29">
        <f t="shared" si="15"/>
        <v>-5.4163718790879223E-2</v>
      </c>
      <c r="AH24" s="29">
        <f t="shared" si="16"/>
        <v>-4.8122296080839844E-2</v>
      </c>
      <c r="AI24" s="29">
        <f t="shared" si="17"/>
        <v>-0.15812481502185738</v>
      </c>
      <c r="AJ24" s="29">
        <f t="shared" si="18"/>
        <v>-0.3307262689018623</v>
      </c>
      <c r="AK24" s="29">
        <f t="shared" si="19"/>
        <v>0.76062709817489038</v>
      </c>
      <c r="AL24" s="29">
        <f t="shared" si="20"/>
        <v>0.14037083668262373</v>
      </c>
      <c r="AM24" s="29">
        <f t="shared" si="21"/>
        <v>2.7322000165296068E-2</v>
      </c>
      <c r="AN24" s="29">
        <f t="shared" si="21"/>
        <v>3.5146540719007913E-2</v>
      </c>
      <c r="AO24" s="29">
        <f t="shared" si="21"/>
        <v>3.0799777417400254E-2</v>
      </c>
    </row>
    <row r="25" spans="2:41" x14ac:dyDescent="0.2">
      <c r="B25" s="24" t="s">
        <v>27</v>
      </c>
      <c r="C25" s="2">
        <v>1568.1649659300001</v>
      </c>
      <c r="D25" s="2">
        <v>1879.1610727</v>
      </c>
      <c r="E25" s="2">
        <v>2371.6022123299999</v>
      </c>
      <c r="F25" s="2">
        <v>2059.9234461300002</v>
      </c>
      <c r="G25" s="2">
        <v>2024.6573343099999</v>
      </c>
      <c r="H25" s="2">
        <v>2184.01809336</v>
      </c>
      <c r="I25" s="2">
        <v>2324.3398853499998</v>
      </c>
      <c r="J25" s="2">
        <v>1337.9648148599999</v>
      </c>
      <c r="K25" s="2">
        <v>1691.9607493699998</v>
      </c>
      <c r="L25" s="2">
        <v>1790.3363714899999</v>
      </c>
      <c r="M25" s="2">
        <v>1960.76617498</v>
      </c>
      <c r="N25" s="2">
        <v>1073.7662370200001</v>
      </c>
      <c r="O25" s="2">
        <v>988.24476230999994</v>
      </c>
      <c r="P25" s="2">
        <v>820.58471280999993</v>
      </c>
      <c r="Q25" s="2">
        <v>952.47045300000002</v>
      </c>
      <c r="R25" s="2">
        <v>710.67416900000001</v>
      </c>
      <c r="S25" s="2">
        <v>822.99972700000001</v>
      </c>
      <c r="T25" s="2">
        <v>845.047909</v>
      </c>
      <c r="U25" s="2">
        <v>810.32843100000002</v>
      </c>
      <c r="V25" s="2">
        <v>828.043541</v>
      </c>
      <c r="W25" s="29">
        <f t="shared" si="5"/>
        <v>0.19831848914285866</v>
      </c>
      <c r="X25" s="29">
        <f t="shared" si="6"/>
        <v>0.26205371470496397</v>
      </c>
      <c r="Y25" s="29">
        <f t="shared" si="7"/>
        <v>-0.13142118209351317</v>
      </c>
      <c r="Z25" s="29">
        <f t="shared" si="8"/>
        <v>-1.7120107975980958E-2</v>
      </c>
      <c r="AA25" s="29">
        <f t="shared" si="9"/>
        <v>7.8709990253392759E-2</v>
      </c>
      <c r="AB25" s="29">
        <f t="shared" si="10"/>
        <v>6.424937248304663E-2</v>
      </c>
      <c r="AC25" s="29">
        <f t="shared" si="11"/>
        <v>-0.42436782877882384</v>
      </c>
      <c r="AD25" s="29">
        <f t="shared" si="12"/>
        <v>0.26457791010523746</v>
      </c>
      <c r="AE25" s="29">
        <f t="shared" si="13"/>
        <v>5.8142969425638347E-2</v>
      </c>
      <c r="AF25" s="29">
        <f t="shared" si="14"/>
        <v>9.5194292091692612E-2</v>
      </c>
      <c r="AG25" s="29">
        <f t="shared" si="15"/>
        <v>-0.45237415316441154</v>
      </c>
      <c r="AH25" s="29">
        <f t="shared" si="16"/>
        <v>-7.9646269142663706E-2</v>
      </c>
      <c r="AI25" s="29">
        <f t="shared" si="17"/>
        <v>-0.16965437702710251</v>
      </c>
      <c r="AJ25" s="29">
        <f t="shared" si="18"/>
        <v>0.16072166362735696</v>
      </c>
      <c r="AK25" s="29">
        <f t="shared" si="19"/>
        <v>-0.25386224133086044</v>
      </c>
      <c r="AL25" s="29">
        <f t="shared" si="20"/>
        <v>0.15805493276624216</v>
      </c>
      <c r="AM25" s="29">
        <f t="shared" si="21"/>
        <v>2.6790023467407442E-2</v>
      </c>
      <c r="AN25" s="29">
        <f t="shared" si="21"/>
        <v>-4.1085810201087591E-2</v>
      </c>
      <c r="AO25" s="29">
        <f t="shared" si="21"/>
        <v>2.1861641924791231E-2</v>
      </c>
    </row>
    <row r="26" spans="2:41" x14ac:dyDescent="0.2">
      <c r="B26" s="24" t="s">
        <v>28</v>
      </c>
      <c r="C26" s="2">
        <v>10143.368194209999</v>
      </c>
      <c r="D26" s="2">
        <v>14855.93661397</v>
      </c>
      <c r="E26" s="2">
        <v>9085.5421529899995</v>
      </c>
      <c r="F26" s="2">
        <v>9169.1824038100003</v>
      </c>
      <c r="G26" s="2">
        <v>12564.312053200001</v>
      </c>
      <c r="H26" s="2">
        <v>15983.235891139999</v>
      </c>
      <c r="I26" s="2">
        <v>16444.673615539999</v>
      </c>
      <c r="J26" s="2">
        <v>16834.247980420001</v>
      </c>
      <c r="K26" s="2">
        <v>18329.889257130002</v>
      </c>
      <c r="L26" s="2">
        <v>22867.12841822</v>
      </c>
      <c r="M26" s="2">
        <v>23943.302993849997</v>
      </c>
      <c r="N26" s="2">
        <v>23427.242213810001</v>
      </c>
      <c r="O26" s="2">
        <v>22333.71890557</v>
      </c>
      <c r="P26" s="2">
        <v>18813.597764139999</v>
      </c>
      <c r="Q26" s="2">
        <v>12188.17211041</v>
      </c>
      <c r="R26" s="2">
        <v>22425.09721557</v>
      </c>
      <c r="S26" s="2">
        <v>25560.359244119998</v>
      </c>
      <c r="T26" s="2">
        <v>26259.157200289999</v>
      </c>
      <c r="U26" s="2">
        <v>27246.495726820001</v>
      </c>
      <c r="V26" s="2">
        <v>28092.924555919999</v>
      </c>
      <c r="W26" s="29">
        <f t="shared" si="5"/>
        <v>0.46459601283625007</v>
      </c>
      <c r="X26" s="29">
        <f t="shared" si="6"/>
        <v>-0.38842347075940831</v>
      </c>
      <c r="Y26" s="29">
        <f t="shared" si="7"/>
        <v>9.2058623923148009E-3</v>
      </c>
      <c r="Z26" s="29">
        <f t="shared" si="8"/>
        <v>0.37027615984378803</v>
      </c>
      <c r="AA26" s="29">
        <f t="shared" si="9"/>
        <v>0.27211389079350612</v>
      </c>
      <c r="AB26" s="29">
        <f t="shared" si="10"/>
        <v>2.8870106625642045E-2</v>
      </c>
      <c r="AC26" s="29">
        <f t="shared" si="11"/>
        <v>2.3690002853681502E-2</v>
      </c>
      <c r="AD26" s="29">
        <f t="shared" si="12"/>
        <v>8.8845149391264089E-2</v>
      </c>
      <c r="AE26" s="29">
        <f t="shared" si="13"/>
        <v>0.24753227351469631</v>
      </c>
      <c r="AF26" s="29">
        <f t="shared" si="14"/>
        <v>4.7062077754044696E-2</v>
      </c>
      <c r="AG26" s="29">
        <f t="shared" si="15"/>
        <v>-2.1553449838251248E-2</v>
      </c>
      <c r="AH26" s="29">
        <f t="shared" si="16"/>
        <v>-4.6677423584897459E-2</v>
      </c>
      <c r="AI26" s="29">
        <f t="shared" si="17"/>
        <v>-0.15761464341489884</v>
      </c>
      <c r="AJ26" s="29">
        <f t="shared" si="18"/>
        <v>-0.35216154489911078</v>
      </c>
      <c r="AK26" s="29">
        <f t="shared" si="19"/>
        <v>0.83990651037956487</v>
      </c>
      <c r="AL26" s="29">
        <f t="shared" si="20"/>
        <v>0.13981040966784075</v>
      </c>
      <c r="AM26" s="29">
        <f t="shared" si="21"/>
        <v>2.7339128902531096E-2</v>
      </c>
      <c r="AN26" s="29">
        <f t="shared" si="21"/>
        <v>3.7599779726330995E-2</v>
      </c>
      <c r="AO26" s="29">
        <f t="shared" si="21"/>
        <v>3.1065603356354554E-2</v>
      </c>
    </row>
    <row r="27" spans="2:41" x14ac:dyDescent="0.2">
      <c r="B27" s="23" t="s">
        <v>32</v>
      </c>
      <c r="C27" s="2">
        <v>28920.417493230005</v>
      </c>
      <c r="D27" s="2">
        <v>29361.354155659996</v>
      </c>
      <c r="E27" s="2">
        <v>36171.23841767</v>
      </c>
      <c r="F27" s="2">
        <v>37033.692506700005</v>
      </c>
      <c r="G27" s="2">
        <f>42749.1661879+500.3</f>
        <v>43249.466187900005</v>
      </c>
      <c r="H27" s="2">
        <v>49704.048419800005</v>
      </c>
      <c r="I27" s="2">
        <v>52354.91134826999</v>
      </c>
      <c r="J27" s="2">
        <v>51134.155517600004</v>
      </c>
      <c r="K27" s="2">
        <v>56008.019124229977</v>
      </c>
      <c r="L27" s="2">
        <v>61333.566376760005</v>
      </c>
      <c r="M27" s="2">
        <v>76982.566006590001</v>
      </c>
      <c r="N27" s="2">
        <v>81737.855719879997</v>
      </c>
      <c r="O27" s="2">
        <v>61995.442925669995</v>
      </c>
      <c r="P27" s="2">
        <v>84296.757952560001</v>
      </c>
      <c r="Q27" s="2">
        <v>68098.181949570004</v>
      </c>
      <c r="R27" s="2">
        <v>93881.723054609989</v>
      </c>
      <c r="S27" s="2">
        <v>95185.391274130001</v>
      </c>
      <c r="T27" s="2">
        <v>116254.67503574003</v>
      </c>
      <c r="U27" s="2">
        <v>95371.712178199989</v>
      </c>
      <c r="V27" s="2">
        <v>116463.40578060996</v>
      </c>
      <c r="W27" s="29">
        <f t="shared" si="5"/>
        <v>1.5246552458421769E-2</v>
      </c>
      <c r="X27" s="29">
        <f t="shared" si="6"/>
        <v>0.23193358950364562</v>
      </c>
      <c r="Y27" s="29">
        <f t="shared" si="7"/>
        <v>2.3843642815632338E-2</v>
      </c>
      <c r="Z27" s="29">
        <f t="shared" si="8"/>
        <v>0.16784104582807835</v>
      </c>
      <c r="AA27" s="29">
        <f t="shared" si="9"/>
        <v>0.14924073753552625</v>
      </c>
      <c r="AB27" s="29">
        <f t="shared" si="10"/>
        <v>5.3332937914449596E-2</v>
      </c>
      <c r="AC27" s="29">
        <f t="shared" si="11"/>
        <v>-2.3316930527289004E-2</v>
      </c>
      <c r="AD27" s="29">
        <f t="shared" si="12"/>
        <v>9.5315226335407566E-2</v>
      </c>
      <c r="AE27" s="29">
        <f t="shared" si="13"/>
        <v>9.5085441974256613E-2</v>
      </c>
      <c r="AF27" s="29">
        <f t="shared" si="14"/>
        <v>0.25514576363783048</v>
      </c>
      <c r="AG27" s="29">
        <f t="shared" si="15"/>
        <v>6.1770995174192045E-2</v>
      </c>
      <c r="AH27" s="29">
        <f t="shared" si="16"/>
        <v>-0.24153328491841419</v>
      </c>
      <c r="AI27" s="29">
        <f t="shared" si="17"/>
        <v>0.35972506968985396</v>
      </c>
      <c r="AJ27" s="29">
        <f t="shared" si="18"/>
        <v>-0.19216131671524228</v>
      </c>
      <c r="AK27" s="29">
        <f t="shared" si="19"/>
        <v>0.37862304641457167</v>
      </c>
      <c r="AL27" s="29">
        <f t="shared" si="20"/>
        <v>1.3886283475663008E-2</v>
      </c>
      <c r="AM27" s="29">
        <f t="shared" si="21"/>
        <v>0.22134997271725609</v>
      </c>
      <c r="AN27" s="29">
        <f t="shared" si="21"/>
        <v>-0.17963116624015352</v>
      </c>
      <c r="AO27" s="29">
        <f t="shared" si="21"/>
        <v>0.22115251074658904</v>
      </c>
    </row>
    <row r="28" spans="2:41" x14ac:dyDescent="0.2">
      <c r="B28" s="23" t="s">
        <v>72</v>
      </c>
      <c r="C28" s="2"/>
      <c r="D28" s="2"/>
      <c r="E28" s="2"/>
      <c r="F28" s="2"/>
      <c r="G28" s="2"/>
      <c r="H28" s="2"/>
      <c r="I28" s="2"/>
      <c r="J28" s="2"/>
      <c r="K28" s="2"/>
      <c r="L28" s="2"/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29"/>
      <c r="AH28" s="29"/>
      <c r="AI28" s="29"/>
      <c r="AJ28" s="29"/>
      <c r="AK28" s="29"/>
      <c r="AL28" s="29"/>
      <c r="AM28" s="29"/>
      <c r="AN28" s="29"/>
      <c r="AO28" s="29"/>
    </row>
    <row r="29" spans="2:41" x14ac:dyDescent="0.2">
      <c r="B29" s="23" t="s">
        <v>73</v>
      </c>
      <c r="C29" s="2"/>
      <c r="D29" s="2"/>
      <c r="E29" s="2"/>
      <c r="F29" s="2"/>
      <c r="G29" s="2"/>
      <c r="H29" s="2"/>
      <c r="I29" s="2"/>
      <c r="J29" s="2"/>
      <c r="K29" s="2"/>
      <c r="L29" s="2"/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375.75747047999999</v>
      </c>
      <c r="T29" s="2">
        <v>52.723983659999995</v>
      </c>
      <c r="U29" s="2">
        <v>0</v>
      </c>
      <c r="V29" s="2">
        <v>0</v>
      </c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29"/>
      <c r="AI29" s="29"/>
      <c r="AJ29" s="29"/>
      <c r="AK29" s="29"/>
      <c r="AL29" s="44" t="e">
        <f t="shared" ref="AL29:AO32" si="33">+S29/R29-1</f>
        <v>#DIV/0!</v>
      </c>
      <c r="AM29" s="29">
        <f t="shared" si="33"/>
        <v>-0.85968613320541754</v>
      </c>
      <c r="AN29" s="29">
        <f t="shared" si="33"/>
        <v>-1</v>
      </c>
      <c r="AO29" s="44" t="e">
        <f t="shared" si="33"/>
        <v>#DIV/0!</v>
      </c>
    </row>
    <row r="30" spans="2:41" x14ac:dyDescent="0.2">
      <c r="B30" s="22" t="s">
        <v>33</v>
      </c>
      <c r="C30" s="2">
        <v>2885.45375337</v>
      </c>
      <c r="D30" s="2">
        <v>2760.8656952699998</v>
      </c>
      <c r="E30" s="2">
        <v>3926.2352647399998</v>
      </c>
      <c r="F30" s="2">
        <v>4598.37086903</v>
      </c>
      <c r="G30" s="2">
        <v>5390.8</v>
      </c>
      <c r="H30" s="2">
        <v>5173.19549362</v>
      </c>
      <c r="I30" s="2">
        <v>6676.4570275600008</v>
      </c>
      <c r="J30" s="2">
        <v>4344.7631322500001</v>
      </c>
      <c r="K30" s="2">
        <v>4905.8226919500003</v>
      </c>
      <c r="L30" s="2">
        <v>5344.5723386700001</v>
      </c>
      <c r="M30" s="2">
        <v>5504.6403037200007</v>
      </c>
      <c r="N30" s="2">
        <v>5581.5479599999999</v>
      </c>
      <c r="O30" s="2">
        <v>6035.5372877999998</v>
      </c>
      <c r="P30" s="2">
        <v>6251.1229755000004</v>
      </c>
      <c r="Q30" s="2">
        <v>7177.3230053900006</v>
      </c>
      <c r="R30" s="2">
        <v>38937.291213390003</v>
      </c>
      <c r="S30" s="2">
        <v>43173.071423889996</v>
      </c>
      <c r="T30" s="2">
        <v>45866.490417370005</v>
      </c>
      <c r="U30" s="2">
        <v>50148.782423540004</v>
      </c>
      <c r="V30" s="2">
        <v>52724.76075981</v>
      </c>
      <c r="W30" s="29">
        <f t="shared" si="5"/>
        <v>-4.3177977797942635E-2</v>
      </c>
      <c r="X30" s="29">
        <f t="shared" si="6"/>
        <v>0.42210295541233567</v>
      </c>
      <c r="Y30" s="29">
        <f t="shared" si="7"/>
        <v>0.17119086324912569</v>
      </c>
      <c r="Z30" s="29">
        <f t="shared" si="8"/>
        <v>0.17232823396368602</v>
      </c>
      <c r="AA30" s="29">
        <f t="shared" si="9"/>
        <v>-4.0365902348445504E-2</v>
      </c>
      <c r="AB30" s="29">
        <f t="shared" si="10"/>
        <v>0.29058664722683369</v>
      </c>
      <c r="AC30" s="29">
        <f t="shared" si="11"/>
        <v>-0.3492412046816018</v>
      </c>
      <c r="AD30" s="29">
        <f t="shared" si="12"/>
        <v>0.12913467147044377</v>
      </c>
      <c r="AE30" s="29">
        <f t="shared" si="13"/>
        <v>8.9434468848608617E-2</v>
      </c>
      <c r="AF30" s="29">
        <f t="shared" si="14"/>
        <v>2.9949630186843601E-2</v>
      </c>
      <c r="AG30" s="29">
        <f t="shared" si="15"/>
        <v>1.3971422660991273E-2</v>
      </c>
      <c r="AH30" s="29">
        <f t="shared" si="16"/>
        <v>8.133753056562476E-2</v>
      </c>
      <c r="AI30" s="29">
        <f t="shared" si="17"/>
        <v>3.571938626504334E-2</v>
      </c>
      <c r="AJ30" s="29">
        <f t="shared" si="18"/>
        <v>0.14816538300718962</v>
      </c>
      <c r="AK30" s="29">
        <f>+R30/Q30-1</f>
        <v>4.4250437362438637</v>
      </c>
      <c r="AL30" s="29">
        <f t="shared" si="33"/>
        <v>0.10878466576646106</v>
      </c>
      <c r="AM30" s="29">
        <f t="shared" si="33"/>
        <v>6.2386550334466051E-2</v>
      </c>
      <c r="AN30" s="29">
        <f t="shared" si="33"/>
        <v>9.3364283318879471E-2</v>
      </c>
      <c r="AO30" s="29">
        <f t="shared" si="33"/>
        <v>5.1366717431225783E-2</v>
      </c>
    </row>
    <row r="31" spans="2:41" x14ac:dyDescent="0.2">
      <c r="B31" s="22" t="s">
        <v>12</v>
      </c>
      <c r="C31" s="2">
        <v>1334.62331468</v>
      </c>
      <c r="D31" s="2">
        <v>1267.2008412299999</v>
      </c>
      <c r="E31" s="2">
        <v>589.02327111</v>
      </c>
      <c r="F31" s="2">
        <v>1064.0653547300001</v>
      </c>
      <c r="G31" s="2">
        <v>1206.9000000000001</v>
      </c>
      <c r="H31" s="2">
        <v>1572.54745673</v>
      </c>
      <c r="I31" s="2">
        <v>1499.0852003900002</v>
      </c>
      <c r="J31" s="2">
        <v>2655.1518087300001</v>
      </c>
      <c r="K31" s="2">
        <v>2370.3307776699999</v>
      </c>
      <c r="L31" s="2">
        <v>1403.8490065799999</v>
      </c>
      <c r="M31" s="2">
        <v>4259.1619548600002</v>
      </c>
      <c r="N31" s="2">
        <v>6482.1235852299997</v>
      </c>
      <c r="O31" s="2">
        <v>2890.1017301100001</v>
      </c>
      <c r="P31" s="2">
        <v>4862.9789402100005</v>
      </c>
      <c r="Q31" s="2">
        <v>3367.8086558600003</v>
      </c>
      <c r="R31" s="2">
        <v>10689.06318719</v>
      </c>
      <c r="S31" s="2">
        <v>12179.852966549999</v>
      </c>
      <c r="T31" s="2">
        <v>11442.387773819999</v>
      </c>
      <c r="U31" s="2">
        <v>10603.969222870001</v>
      </c>
      <c r="V31" s="2">
        <v>13520.50663756</v>
      </c>
      <c r="W31" s="29">
        <f t="shared" si="5"/>
        <v>-5.0517979648936229E-2</v>
      </c>
      <c r="X31" s="29">
        <f t="shared" si="6"/>
        <v>-0.53517765144610496</v>
      </c>
      <c r="Y31" s="29">
        <f t="shared" si="7"/>
        <v>0.8064911980893299</v>
      </c>
      <c r="Z31" s="29">
        <f t="shared" si="8"/>
        <v>0.1342348424700317</v>
      </c>
      <c r="AA31" s="29">
        <f t="shared" si="9"/>
        <v>0.30296416996437148</v>
      </c>
      <c r="AB31" s="29">
        <f t="shared" si="10"/>
        <v>-4.6715446345103828E-2</v>
      </c>
      <c r="AC31" s="29">
        <f t="shared" si="11"/>
        <v>0.77118138984978235</v>
      </c>
      <c r="AD31" s="29">
        <f t="shared" si="12"/>
        <v>-0.1072710909122121</v>
      </c>
      <c r="AE31" s="29">
        <f t="shared" si="13"/>
        <v>-0.40774130775116424</v>
      </c>
      <c r="AF31" s="29">
        <f t="shared" si="14"/>
        <v>2.0339174191076275</v>
      </c>
      <c r="AG31" s="29">
        <f t="shared" si="15"/>
        <v>0.52192465417602762</v>
      </c>
      <c r="AH31" s="29">
        <f t="shared" si="16"/>
        <v>-0.55414276014494512</v>
      </c>
      <c r="AI31" s="29">
        <f t="shared" si="17"/>
        <v>0.68263244492259134</v>
      </c>
      <c r="AJ31" s="29">
        <f t="shared" si="18"/>
        <v>-0.30745974900015371</v>
      </c>
      <c r="AK31" s="29">
        <f>+R31/Q31-1</f>
        <v>2.1738926641782301</v>
      </c>
      <c r="AL31" s="29">
        <f t="shared" si="33"/>
        <v>0.13946870303345138</v>
      </c>
      <c r="AM31" s="29">
        <f t="shared" si="33"/>
        <v>-6.0547955279536603E-2</v>
      </c>
      <c r="AN31" s="29">
        <f t="shared" si="33"/>
        <v>-7.3273041215076384E-2</v>
      </c>
      <c r="AO31" s="29">
        <f t="shared" si="33"/>
        <v>0.27504204825489187</v>
      </c>
    </row>
    <row r="32" spans="2:41" x14ac:dyDescent="0.2">
      <c r="B32" s="22" t="s">
        <v>34</v>
      </c>
      <c r="C32" s="2">
        <v>2624.6539751400001</v>
      </c>
      <c r="D32" s="2">
        <v>976.99024042999997</v>
      </c>
      <c r="E32" s="2">
        <v>375.58230832999999</v>
      </c>
      <c r="F32" s="2">
        <v>2566.5255080900001</v>
      </c>
      <c r="G32" s="2">
        <v>15477</v>
      </c>
      <c r="H32" s="2">
        <v>26855.274351430002</v>
      </c>
      <c r="I32" s="2">
        <v>6582.0652976299998</v>
      </c>
      <c r="J32" s="2">
        <v>20172.59116045</v>
      </c>
      <c r="K32" s="2">
        <v>8497.8698926400011</v>
      </c>
      <c r="L32" s="2">
        <v>9822.9522526700002</v>
      </c>
      <c r="M32" s="2">
        <v>22126.17449243</v>
      </c>
      <c r="N32" s="2">
        <v>28327.521305189999</v>
      </c>
      <c r="O32" s="2">
        <v>19527.66104037</v>
      </c>
      <c r="P32" s="2">
        <v>25222.284887379999</v>
      </c>
      <c r="Q32" s="2">
        <v>27627.940103569999</v>
      </c>
      <c r="R32" s="2">
        <v>1772.7311027999999</v>
      </c>
      <c r="S32" s="2">
        <v>915.16621226999996</v>
      </c>
      <c r="T32" s="2">
        <v>14141.243567040001</v>
      </c>
      <c r="U32" s="2">
        <v>5413.0032571599995</v>
      </c>
      <c r="V32" s="2">
        <v>1143.1200251500002</v>
      </c>
      <c r="W32" s="29">
        <f t="shared" si="5"/>
        <v>-0.62776417398873052</v>
      </c>
      <c r="X32" s="29">
        <f t="shared" si="6"/>
        <v>-0.61557209807469926</v>
      </c>
      <c r="Y32" s="29">
        <f t="shared" si="7"/>
        <v>5.8334568779394145</v>
      </c>
      <c r="Z32" s="29">
        <f t="shared" si="8"/>
        <v>5.0303316492334158</v>
      </c>
      <c r="AA32" s="29">
        <f t="shared" si="9"/>
        <v>0.73517311826775233</v>
      </c>
      <c r="AB32" s="29">
        <f t="shared" si="10"/>
        <v>-0.75490604893859459</v>
      </c>
      <c r="AC32" s="29">
        <f t="shared" si="11"/>
        <v>2.0647813791384797</v>
      </c>
      <c r="AD32" s="29">
        <f t="shared" si="12"/>
        <v>-0.5787417776403081</v>
      </c>
      <c r="AE32" s="29">
        <f t="shared" si="13"/>
        <v>0.15593111882986732</v>
      </c>
      <c r="AF32" s="29">
        <f t="shared" si="14"/>
        <v>1.2524974084462062</v>
      </c>
      <c r="AG32" s="29">
        <f t="shared" si="15"/>
        <v>0.28027198352257665</v>
      </c>
      <c r="AH32" s="29">
        <f t="shared" si="16"/>
        <v>-0.31064702661463506</v>
      </c>
      <c r="AI32" s="29">
        <f t="shared" si="17"/>
        <v>0.29161832721478365</v>
      </c>
      <c r="AJ32" s="29">
        <f t="shared" si="18"/>
        <v>9.5378163672779293E-2</v>
      </c>
      <c r="AK32" s="29">
        <f>+R32/Q32-1</f>
        <v>-0.93583556732226547</v>
      </c>
      <c r="AL32" s="29">
        <f t="shared" si="33"/>
        <v>-0.48375350845680443</v>
      </c>
      <c r="AM32" s="29">
        <f t="shared" si="33"/>
        <v>14.452104084965862</v>
      </c>
      <c r="AN32" s="29">
        <f t="shared" si="33"/>
        <v>-0.6172187239758411</v>
      </c>
      <c r="AO32" s="29">
        <f t="shared" si="33"/>
        <v>-0.78881963101759656</v>
      </c>
    </row>
    <row r="33" spans="1:41" x14ac:dyDescent="0.2">
      <c r="C33" s="2"/>
      <c r="D33" s="2"/>
      <c r="E33" s="2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29"/>
      <c r="AI33" s="29"/>
      <c r="AJ33" s="29"/>
      <c r="AK33" s="29"/>
      <c r="AL33" s="29"/>
      <c r="AM33" s="29"/>
      <c r="AN33" s="29"/>
      <c r="AO33" s="29"/>
    </row>
    <row r="34" spans="1:41" ht="15" x14ac:dyDescent="0.25">
      <c r="B34" s="14" t="s">
        <v>11</v>
      </c>
      <c r="C34" s="5">
        <v>308</v>
      </c>
      <c r="D34" s="5">
        <v>50</v>
      </c>
      <c r="E34" s="5">
        <v>0</v>
      </c>
      <c r="F34" s="5">
        <v>1481.74</v>
      </c>
      <c r="G34" s="5">
        <v>318.89999999999998</v>
      </c>
      <c r="H34" s="5">
        <v>56.3</v>
      </c>
      <c r="I34" s="5">
        <v>1.7</v>
      </c>
      <c r="J34" s="5">
        <v>0</v>
      </c>
      <c r="K34" s="5">
        <v>0</v>
      </c>
      <c r="L34" s="5">
        <v>48.705504220000037</v>
      </c>
      <c r="M34" s="5">
        <v>0</v>
      </c>
      <c r="N34" s="5">
        <v>0</v>
      </c>
      <c r="O34" s="5">
        <v>0</v>
      </c>
      <c r="P34" s="5">
        <v>0</v>
      </c>
      <c r="Q34" s="5">
        <v>0</v>
      </c>
      <c r="R34" s="5">
        <v>0</v>
      </c>
      <c r="S34" s="5">
        <v>0</v>
      </c>
      <c r="T34" s="5">
        <v>0</v>
      </c>
      <c r="U34" s="5">
        <v>0</v>
      </c>
      <c r="V34" s="5">
        <v>0</v>
      </c>
      <c r="W34" s="29">
        <f t="shared" ref="W34:AO34" si="34">+D34/C34-1</f>
        <v>-0.83766233766233766</v>
      </c>
      <c r="X34" s="29">
        <f t="shared" si="34"/>
        <v>-1</v>
      </c>
      <c r="Y34" s="44" t="e">
        <f t="shared" si="34"/>
        <v>#DIV/0!</v>
      </c>
      <c r="Z34" s="29">
        <f t="shared" si="34"/>
        <v>-0.78478005588024891</v>
      </c>
      <c r="AA34" s="29">
        <f t="shared" si="34"/>
        <v>-0.82345562872373779</v>
      </c>
      <c r="AB34" s="29">
        <f t="shared" si="34"/>
        <v>-0.96980461811722918</v>
      </c>
      <c r="AC34" s="29">
        <f t="shared" si="34"/>
        <v>-1</v>
      </c>
      <c r="AD34" s="44" t="e">
        <f t="shared" si="34"/>
        <v>#DIV/0!</v>
      </c>
      <c r="AE34" s="44" t="e">
        <f t="shared" si="34"/>
        <v>#DIV/0!</v>
      </c>
      <c r="AF34" s="29">
        <f t="shared" si="34"/>
        <v>-1</v>
      </c>
      <c r="AG34" s="44" t="e">
        <f t="shared" si="34"/>
        <v>#DIV/0!</v>
      </c>
      <c r="AH34" s="44" t="e">
        <f t="shared" si="34"/>
        <v>#DIV/0!</v>
      </c>
      <c r="AI34" s="44" t="e">
        <f t="shared" si="34"/>
        <v>#DIV/0!</v>
      </c>
      <c r="AJ34" s="44" t="e">
        <f t="shared" si="34"/>
        <v>#DIV/0!</v>
      </c>
      <c r="AK34" s="44" t="e">
        <f t="shared" si="34"/>
        <v>#DIV/0!</v>
      </c>
      <c r="AL34" s="44" t="e">
        <f t="shared" si="34"/>
        <v>#DIV/0!</v>
      </c>
      <c r="AM34" s="44" t="e">
        <f t="shared" si="34"/>
        <v>#DIV/0!</v>
      </c>
      <c r="AN34" s="44" t="e">
        <f t="shared" si="34"/>
        <v>#DIV/0!</v>
      </c>
      <c r="AO34" s="44" t="e">
        <f t="shared" si="34"/>
        <v>#DIV/0!</v>
      </c>
    </row>
    <row r="35" spans="1:41" x14ac:dyDescent="0.2">
      <c r="C35" s="2"/>
      <c r="D35" s="2"/>
      <c r="E35" s="2"/>
      <c r="F35" s="2"/>
      <c r="G35" s="2"/>
      <c r="H35" s="2"/>
      <c r="I35" s="2"/>
      <c r="J35" s="2"/>
      <c r="K35" s="2"/>
      <c r="L35" s="2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8"/>
      <c r="AJ35" s="28"/>
      <c r="AK35" s="28"/>
      <c r="AL35" s="28"/>
      <c r="AM35" s="28"/>
      <c r="AN35" s="28"/>
      <c r="AO35" s="28"/>
    </row>
    <row r="36" spans="1:41" x14ac:dyDescent="0.2">
      <c r="A36" s="15">
        <v>2</v>
      </c>
      <c r="B36" s="54" t="s">
        <v>55</v>
      </c>
      <c r="C36" s="21">
        <f>+C40+C56</f>
        <v>135909.7000000001</v>
      </c>
      <c r="D36" s="21">
        <f t="shared" ref="D36:M36" si="35">+D40+D56</f>
        <v>161081.4000000002</v>
      </c>
      <c r="E36" s="35">
        <f t="shared" si="35"/>
        <v>200507.73051523001</v>
      </c>
      <c r="F36" s="21">
        <f t="shared" si="35"/>
        <v>258802.82238865009</v>
      </c>
      <c r="G36" s="21">
        <f t="shared" si="35"/>
        <v>323817.51759180042</v>
      </c>
      <c r="H36" s="21">
        <f t="shared" si="35"/>
        <v>292387.36658815015</v>
      </c>
      <c r="I36" s="21">
        <f t="shared" si="35"/>
        <v>355833.83771917969</v>
      </c>
      <c r="J36" s="21">
        <f t="shared" si="35"/>
        <v>379382.49490254966</v>
      </c>
      <c r="K36" s="21">
        <f t="shared" si="35"/>
        <v>424983.23557674</v>
      </c>
      <c r="L36" s="21">
        <f t="shared" si="35"/>
        <v>414285.64509676961</v>
      </c>
      <c r="M36" s="21">
        <f t="shared" si="35"/>
        <v>476642.39862990013</v>
      </c>
      <c r="N36" s="21">
        <f>+N40+N56</f>
        <v>497754.93446670921</v>
      </c>
      <c r="O36" s="21">
        <f>+O40+O56</f>
        <v>535579.58182375086</v>
      </c>
      <c r="P36" s="21">
        <f>+P40+P56</f>
        <v>570426.15525088971</v>
      </c>
      <c r="Q36" s="21">
        <f>+Q40+Q56</f>
        <v>567022.33509008004</v>
      </c>
      <c r="R36" s="21">
        <f>+R40+R56+R65</f>
        <v>611692.38252295088</v>
      </c>
      <c r="S36" s="21">
        <f>+S40+S56+S65</f>
        <v>601335.62021962099</v>
      </c>
      <c r="T36" s="21">
        <f>+T40+T56+T65</f>
        <v>592790.88957038941</v>
      </c>
      <c r="U36" s="21">
        <f>+U40+U56+U65</f>
        <v>700081.0968218192</v>
      </c>
      <c r="V36" s="21">
        <f>+V40+V56+V65</f>
        <v>762345.71184381889</v>
      </c>
      <c r="W36" s="40">
        <f t="shared" ref="W36:AM36" si="36">+D36/C36-1</f>
        <v>0.1852090027422626</v>
      </c>
      <c r="X36" s="40">
        <f t="shared" si="36"/>
        <v>0.24476029209598238</v>
      </c>
      <c r="Y36" s="40">
        <f t="shared" si="36"/>
        <v>0.29073737817301826</v>
      </c>
      <c r="Z36" s="40">
        <f t="shared" si="36"/>
        <v>0.25121323872394363</v>
      </c>
      <c r="AA36" s="40">
        <f t="shared" si="36"/>
        <v>-9.7061305507476159E-2</v>
      </c>
      <c r="AB36" s="40">
        <f t="shared" si="36"/>
        <v>0.21699457083725071</v>
      </c>
      <c r="AC36" s="40">
        <f t="shared" si="36"/>
        <v>6.6178802258694436E-2</v>
      </c>
      <c r="AD36" s="40">
        <f t="shared" si="36"/>
        <v>0.1201972713208701</v>
      </c>
      <c r="AE36" s="40">
        <f t="shared" si="36"/>
        <v>-2.5171794048423624E-2</v>
      </c>
      <c r="AF36" s="40">
        <f t="shared" si="36"/>
        <v>0.15051632676909454</v>
      </c>
      <c r="AG36" s="40">
        <f t="shared" si="36"/>
        <v>4.4294288333343257E-2</v>
      </c>
      <c r="AH36" s="40">
        <f>+O36/N36-1</f>
        <v>7.5990502028004281E-2</v>
      </c>
      <c r="AI36" s="40">
        <f t="shared" si="36"/>
        <v>6.5063297051914493E-2</v>
      </c>
      <c r="AJ36" s="40">
        <f t="shared" si="36"/>
        <v>-5.9671530301982356E-3</v>
      </c>
      <c r="AK36" s="40">
        <f t="shared" si="36"/>
        <v>7.8780049159393961E-2</v>
      </c>
      <c r="AL36" s="40">
        <f t="shared" si="36"/>
        <v>-1.6931324631856648E-2</v>
      </c>
      <c r="AM36" s="40">
        <f t="shared" si="36"/>
        <v>-1.4209586729804657E-2</v>
      </c>
      <c r="AN36" s="40">
        <f>+U36/T36-1</f>
        <v>0.18099166019434909</v>
      </c>
      <c r="AO36" s="40">
        <f>+V36/U36-1</f>
        <v>8.8939146199867869E-2</v>
      </c>
    </row>
    <row r="37" spans="1:41" x14ac:dyDescent="0.2">
      <c r="A37" s="15"/>
      <c r="B37" s="16"/>
      <c r="C37" s="20"/>
      <c r="D37" s="20"/>
      <c r="E37" s="3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28"/>
      <c r="AJ37" s="28"/>
      <c r="AK37" s="28"/>
      <c r="AL37" s="28"/>
      <c r="AM37" s="28"/>
      <c r="AN37" s="28"/>
      <c r="AO37" s="28"/>
    </row>
    <row r="38" spans="1:41" x14ac:dyDescent="0.2">
      <c r="A38" s="15">
        <v>3</v>
      </c>
      <c r="B38" s="3" t="s">
        <v>16</v>
      </c>
      <c r="C38" s="5">
        <f t="shared" ref="C38:O38" si="37">+C36-C46</f>
        <v>112103.90000000001</v>
      </c>
      <c r="D38" s="5">
        <f t="shared" si="37"/>
        <v>144346.20000000019</v>
      </c>
      <c r="E38" s="37">
        <f t="shared" si="37"/>
        <v>183513.23051523004</v>
      </c>
      <c r="F38" s="5">
        <f t="shared" si="37"/>
        <v>247084.22238865</v>
      </c>
      <c r="G38" s="5">
        <f t="shared" si="37"/>
        <v>305988.59576643043</v>
      </c>
      <c r="H38" s="5">
        <f t="shared" si="37"/>
        <v>274693.01367055014</v>
      </c>
      <c r="I38" s="5">
        <f t="shared" si="37"/>
        <v>333161.11206941976</v>
      </c>
      <c r="J38" s="5">
        <f t="shared" si="37"/>
        <v>349621.8786465897</v>
      </c>
      <c r="K38" s="5">
        <f t="shared" si="37"/>
        <v>400348.53414848994</v>
      </c>
      <c r="L38" s="5">
        <f t="shared" si="37"/>
        <v>374245.95771128958</v>
      </c>
      <c r="M38" s="5">
        <f t="shared" si="37"/>
        <v>436555.77415628027</v>
      </c>
      <c r="N38" s="5">
        <f t="shared" si="37"/>
        <v>437447.11401680938</v>
      </c>
      <c r="O38" s="5">
        <f t="shared" si="37"/>
        <v>444039.25873311097</v>
      </c>
      <c r="P38" s="5">
        <f t="shared" ref="P38:V38" si="38">+P36-P46</f>
        <v>492417.00998815952</v>
      </c>
      <c r="Q38" s="5">
        <f t="shared" si="38"/>
        <v>498602.66900033038</v>
      </c>
      <c r="R38" s="5">
        <f t="shared" si="38"/>
        <v>537171.60416805069</v>
      </c>
      <c r="S38" s="5">
        <f t="shared" si="38"/>
        <v>532903.1042186612</v>
      </c>
      <c r="T38" s="5">
        <f t="shared" si="38"/>
        <v>502152.13034276938</v>
      </c>
      <c r="U38" s="5">
        <f t="shared" si="38"/>
        <v>578789.7956587493</v>
      </c>
      <c r="V38" s="5">
        <f t="shared" si="38"/>
        <v>602981.18284361856</v>
      </c>
      <c r="W38" s="31">
        <f t="shared" ref="W38:AO38" si="39">+D38/C38-1</f>
        <v>0.28761086813215386</v>
      </c>
      <c r="X38" s="31">
        <f t="shared" si="39"/>
        <v>0.27134091867489274</v>
      </c>
      <c r="Y38" s="31">
        <f t="shared" si="39"/>
        <v>0.3464109464747509</v>
      </c>
      <c r="Z38" s="31">
        <f t="shared" si="39"/>
        <v>0.2383979551924893</v>
      </c>
      <c r="AA38" s="31">
        <f t="shared" si="39"/>
        <v>-0.10227695583716812</v>
      </c>
      <c r="AB38" s="31">
        <f t="shared" si="39"/>
        <v>0.21284887306596256</v>
      </c>
      <c r="AC38" s="31">
        <f t="shared" si="39"/>
        <v>4.9407826966732182E-2</v>
      </c>
      <c r="AD38" s="31">
        <f t="shared" si="39"/>
        <v>0.14509004899311972</v>
      </c>
      <c r="AE38" s="31">
        <f t="shared" si="39"/>
        <v>-6.5199630348887094E-2</v>
      </c>
      <c r="AF38" s="31">
        <f t="shared" si="39"/>
        <v>0.16649429382229775</v>
      </c>
      <c r="AG38" s="31">
        <f t="shared" si="39"/>
        <v>2.0417548301858712E-3</v>
      </c>
      <c r="AH38" s="31">
        <f t="shared" si="39"/>
        <v>1.5069580996363019E-2</v>
      </c>
      <c r="AI38" s="31">
        <f t="shared" si="39"/>
        <v>0.1089492658668858</v>
      </c>
      <c r="AJ38" s="31">
        <f t="shared" si="39"/>
        <v>1.2561830494685067E-2</v>
      </c>
      <c r="AK38" s="31">
        <f t="shared" si="39"/>
        <v>7.7354048755994054E-2</v>
      </c>
      <c r="AL38" s="31">
        <f t="shared" si="39"/>
        <v>-7.9462501671143659E-3</v>
      </c>
      <c r="AM38" s="31">
        <f t="shared" si="39"/>
        <v>-5.7704625160663436E-2</v>
      </c>
      <c r="AN38" s="31">
        <f t="shared" si="39"/>
        <v>0.15261842116186375</v>
      </c>
      <c r="AO38" s="31">
        <f t="shared" si="39"/>
        <v>4.1796499119919339E-2</v>
      </c>
    </row>
    <row r="39" spans="1:41" ht="6.75" customHeight="1" x14ac:dyDescent="0.2">
      <c r="C39" s="2"/>
      <c r="D39" s="2"/>
      <c r="E39" s="36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8"/>
      <c r="AL39" s="28"/>
      <c r="AM39" s="28"/>
      <c r="AN39" s="28"/>
      <c r="AO39" s="28"/>
    </row>
    <row r="40" spans="1:41" x14ac:dyDescent="0.2">
      <c r="B40" s="16" t="s">
        <v>1</v>
      </c>
      <c r="C40" s="20">
        <f>+C43+C44+C45+C46+C50</f>
        <v>117365.2000000001</v>
      </c>
      <c r="D40" s="20">
        <f t="shared" ref="D40:O40" si="40">+D43+D44+D45+D46+D50</f>
        <v>140155.30000000019</v>
      </c>
      <c r="E40" s="38">
        <f t="shared" si="40"/>
        <v>187805.03051523003</v>
      </c>
      <c r="F40" s="20">
        <f t="shared" si="40"/>
        <v>217601.32238865012</v>
      </c>
      <c r="G40" s="20">
        <f t="shared" si="40"/>
        <v>264142.53419890045</v>
      </c>
      <c r="H40" s="20">
        <f t="shared" si="40"/>
        <v>265476.50937865017</v>
      </c>
      <c r="I40" s="20">
        <f t="shared" si="40"/>
        <v>305573.83169251971</v>
      </c>
      <c r="J40" s="20">
        <f t="shared" si="40"/>
        <v>345499.29739375971</v>
      </c>
      <c r="K40" s="20">
        <f t="shared" si="40"/>
        <v>373669.90313796001</v>
      </c>
      <c r="L40" s="20">
        <f t="shared" si="40"/>
        <v>386532.59897589963</v>
      </c>
      <c r="M40" s="20">
        <f t="shared" si="40"/>
        <v>415010.88129051018</v>
      </c>
      <c r="N40" s="20">
        <f t="shared" si="40"/>
        <v>432745.37878443918</v>
      </c>
      <c r="O40" s="20">
        <f t="shared" si="40"/>
        <v>487753.4419661609</v>
      </c>
      <c r="P40" s="20">
        <f t="shared" ref="P40:V40" si="41">+P43+P44+P45+P46+P50</f>
        <v>516853.18525053968</v>
      </c>
      <c r="Q40" s="20">
        <f t="shared" si="41"/>
        <v>502066.69265973009</v>
      </c>
      <c r="R40" s="20">
        <f t="shared" si="41"/>
        <v>550688.87548598112</v>
      </c>
      <c r="S40" s="20">
        <f t="shared" si="41"/>
        <v>544013.34580538084</v>
      </c>
      <c r="T40" s="20">
        <f t="shared" si="41"/>
        <v>549834.72563383949</v>
      </c>
      <c r="U40" s="20">
        <f t="shared" si="41"/>
        <v>630460.24305656925</v>
      </c>
      <c r="V40" s="20">
        <f t="shared" si="41"/>
        <v>689809.61385401897</v>
      </c>
      <c r="W40" s="28">
        <f t="shared" ref="W40:AO40" si="42">+D40/C40-1</f>
        <v>0.19418106900512311</v>
      </c>
      <c r="X40" s="28">
        <f t="shared" si="42"/>
        <v>0.33997808513291883</v>
      </c>
      <c r="Y40" s="28">
        <f t="shared" si="42"/>
        <v>0.15865545130328007</v>
      </c>
      <c r="Z40" s="28">
        <f t="shared" si="42"/>
        <v>0.21388294565197863</v>
      </c>
      <c r="AA40" s="28">
        <f t="shared" si="42"/>
        <v>5.0502096672746521E-3</v>
      </c>
      <c r="AB40" s="28">
        <f t="shared" si="42"/>
        <v>0.15103905956770958</v>
      </c>
      <c r="AC40" s="28">
        <f t="shared" si="42"/>
        <v>0.13065734549355845</v>
      </c>
      <c r="AD40" s="28">
        <f t="shared" si="42"/>
        <v>8.1535927733290769E-2</v>
      </c>
      <c r="AE40" s="28">
        <f t="shared" si="42"/>
        <v>3.442261667295865E-2</v>
      </c>
      <c r="AF40" s="28">
        <f t="shared" si="42"/>
        <v>7.3676275662291957E-2</v>
      </c>
      <c r="AG40" s="28">
        <f t="shared" si="42"/>
        <v>4.2732608453017296E-2</v>
      </c>
      <c r="AH40" s="28">
        <f t="shared" si="42"/>
        <v>0.12711415506327706</v>
      </c>
      <c r="AI40" s="28">
        <f t="shared" si="42"/>
        <v>5.96607646008116E-2</v>
      </c>
      <c r="AJ40" s="28">
        <f t="shared" si="42"/>
        <v>-2.860869007442024E-2</v>
      </c>
      <c r="AK40" s="28">
        <f t="shared" si="42"/>
        <v>9.6844071787897112E-2</v>
      </c>
      <c r="AL40" s="28">
        <f t="shared" si="42"/>
        <v>-1.2122143696309706E-2</v>
      </c>
      <c r="AM40" s="28">
        <f t="shared" si="42"/>
        <v>1.0700803341213039E-2</v>
      </c>
      <c r="AN40" s="28">
        <f t="shared" si="42"/>
        <v>0.14663591378261187</v>
      </c>
      <c r="AO40" s="28">
        <f t="shared" si="42"/>
        <v>9.4136579508510732E-2</v>
      </c>
    </row>
    <row r="41" spans="1:41" x14ac:dyDescent="0.2">
      <c r="C41" s="43"/>
      <c r="D41" s="2"/>
      <c r="E41" s="36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28"/>
      <c r="AK41" s="28"/>
      <c r="AL41" s="28"/>
      <c r="AM41" s="28"/>
      <c r="AN41" s="28"/>
      <c r="AO41" s="28"/>
    </row>
    <row r="42" spans="1:41" x14ac:dyDescent="0.2">
      <c r="B42" s="25" t="s">
        <v>41</v>
      </c>
      <c r="C42" s="5">
        <f>SUM(C43:C44)</f>
        <v>45354.3</v>
      </c>
      <c r="D42" s="5">
        <f t="shared" ref="D42:L42" si="43">SUM(D43:D44)</f>
        <v>51997.600000000071</v>
      </c>
      <c r="E42" s="37">
        <f t="shared" si="43"/>
        <v>76727.8</v>
      </c>
      <c r="F42" s="5">
        <f t="shared" si="43"/>
        <v>87739.400000000052</v>
      </c>
      <c r="G42" s="5">
        <f t="shared" si="43"/>
        <v>104967.07929534049</v>
      </c>
      <c r="H42" s="5">
        <f t="shared" si="43"/>
        <v>117683.19397650023</v>
      </c>
      <c r="I42" s="5">
        <f t="shared" si="43"/>
        <v>119853.38163969976</v>
      </c>
      <c r="J42" s="5">
        <f t="shared" si="43"/>
        <v>137426.89210339988</v>
      </c>
      <c r="K42" s="5">
        <f t="shared" si="43"/>
        <v>155337.25284626996</v>
      </c>
      <c r="L42" s="5">
        <f t="shared" si="43"/>
        <v>155874.20172140957</v>
      </c>
      <c r="M42" s="5">
        <f t="shared" ref="M42:R42" si="44">SUM(M43:M44)</f>
        <v>156453.3005893204</v>
      </c>
      <c r="N42" s="5">
        <f t="shared" si="44"/>
        <v>166222.03610909986</v>
      </c>
      <c r="O42" s="5">
        <f t="shared" si="44"/>
        <v>178106.28133380075</v>
      </c>
      <c r="P42" s="5">
        <f t="shared" si="44"/>
        <v>184054.34303760985</v>
      </c>
      <c r="Q42" s="5">
        <f t="shared" si="44"/>
        <v>182442.59599584047</v>
      </c>
      <c r="R42" s="5">
        <f t="shared" si="44"/>
        <v>190851.26008411136</v>
      </c>
      <c r="S42" s="5">
        <f>SUM(S43:S44)</f>
        <v>191024.13110621049</v>
      </c>
      <c r="T42" s="5">
        <f>SUM(T43:T44)</f>
        <v>193179.89255123973</v>
      </c>
      <c r="U42" s="5">
        <f>SUM(U43:U44)</f>
        <v>200189.58536055931</v>
      </c>
      <c r="V42" s="5">
        <f>SUM(V43:V44)</f>
        <v>213454.2821369094</v>
      </c>
      <c r="W42" s="31">
        <f t="shared" ref="W42:AF48" si="45">+D42/C42-1</f>
        <v>0.14647563737065883</v>
      </c>
      <c r="X42" s="31">
        <f t="shared" si="45"/>
        <v>0.47560272012554239</v>
      </c>
      <c r="Y42" s="31">
        <f t="shared" si="45"/>
        <v>0.14351512750267892</v>
      </c>
      <c r="Z42" s="31">
        <f t="shared" si="45"/>
        <v>0.19635054827523812</v>
      </c>
      <c r="AA42" s="31">
        <f t="shared" si="45"/>
        <v>0.12114383639637216</v>
      </c>
      <c r="AB42" s="31">
        <f t="shared" si="45"/>
        <v>1.8440931027355445E-2</v>
      </c>
      <c r="AC42" s="31">
        <f t="shared" si="45"/>
        <v>0.14662506992526225</v>
      </c>
      <c r="AD42" s="31">
        <f t="shared" si="45"/>
        <v>0.13032646281045435</v>
      </c>
      <c r="AE42" s="31">
        <f t="shared" si="45"/>
        <v>3.4566651933196635E-3</v>
      </c>
      <c r="AF42" s="31">
        <f t="shared" si="45"/>
        <v>3.7151681388933877E-3</v>
      </c>
      <c r="AG42" s="31">
        <f t="shared" ref="AG42:AO48" si="46">+N42/M42-1</f>
        <v>6.2438666892824068E-2</v>
      </c>
      <c r="AH42" s="31">
        <f t="shared" si="46"/>
        <v>7.1496207740474604E-2</v>
      </c>
      <c r="AI42" s="31">
        <f t="shared" si="46"/>
        <v>3.3396136617222627E-2</v>
      </c>
      <c r="AJ42" s="31">
        <f t="shared" si="46"/>
        <v>-8.7569085041369066E-3</v>
      </c>
      <c r="AK42" s="31">
        <f t="shared" si="46"/>
        <v>4.6089368781304874E-2</v>
      </c>
      <c r="AL42" s="31">
        <f t="shared" si="46"/>
        <v>9.0578926239714974E-4</v>
      </c>
      <c r="AM42" s="31">
        <f t="shared" si="46"/>
        <v>1.1285283343760444E-2</v>
      </c>
      <c r="AN42" s="31">
        <f t="shared" si="46"/>
        <v>3.6285830356077575E-2</v>
      </c>
      <c r="AO42" s="31">
        <f t="shared" si="46"/>
        <v>6.6260673613261156E-2</v>
      </c>
    </row>
    <row r="43" spans="1:41" x14ac:dyDescent="0.2">
      <c r="B43" s="25" t="s">
        <v>2</v>
      </c>
      <c r="C43" s="2">
        <v>37420.5</v>
      </c>
      <c r="D43" s="2">
        <v>43065.600000000064</v>
      </c>
      <c r="E43" s="39">
        <v>65731.3</v>
      </c>
      <c r="F43" s="26">
        <v>71680.600000000049</v>
      </c>
      <c r="G43" s="26">
        <v>85303.745294550492</v>
      </c>
      <c r="H43" s="26">
        <v>94926.490748620214</v>
      </c>
      <c r="I43" s="26">
        <v>101851.07139388975</v>
      </c>
      <c r="J43" s="26">
        <v>113329.39740850986</v>
      </c>
      <c r="K43" s="26">
        <v>121141.05414023995</v>
      </c>
      <c r="L43" s="26">
        <v>124753.4336413196</v>
      </c>
      <c r="M43" s="26">
        <v>129607.39510991029</v>
      </c>
      <c r="N43" s="26">
        <v>136901.28914677992</v>
      </c>
      <c r="O43" s="26">
        <v>144699.06582880073</v>
      </c>
      <c r="P43" s="26">
        <v>148417.81824687979</v>
      </c>
      <c r="Q43" s="26">
        <v>148407.75491291052</v>
      </c>
      <c r="R43" s="26">
        <v>156971.02843437134</v>
      </c>
      <c r="S43" s="26">
        <v>156622.81267545058</v>
      </c>
      <c r="T43" s="26">
        <v>162835.80695167976</v>
      </c>
      <c r="U43" s="26">
        <v>168593.80848632939</v>
      </c>
      <c r="V43" s="26">
        <v>179541.18947703944</v>
      </c>
      <c r="W43" s="29">
        <f t="shared" si="45"/>
        <v>0.15085581432637363</v>
      </c>
      <c r="X43" s="29">
        <f t="shared" si="45"/>
        <v>0.5263063791053626</v>
      </c>
      <c r="Y43" s="29">
        <f t="shared" si="45"/>
        <v>9.0509392024804791E-2</v>
      </c>
      <c r="Z43" s="29">
        <f t="shared" si="45"/>
        <v>0.19005344953237602</v>
      </c>
      <c r="AA43" s="29">
        <f t="shared" si="45"/>
        <v>0.11280566194183805</v>
      </c>
      <c r="AB43" s="29">
        <f t="shared" si="45"/>
        <v>7.2946767447738869E-2</v>
      </c>
      <c r="AC43" s="29">
        <f t="shared" si="45"/>
        <v>0.11269715534193891</v>
      </c>
      <c r="AD43" s="29">
        <f t="shared" si="45"/>
        <v>6.892877673717801E-2</v>
      </c>
      <c r="AE43" s="29">
        <f t="shared" si="45"/>
        <v>2.9819614223413948E-2</v>
      </c>
      <c r="AF43" s="29">
        <f t="shared" si="45"/>
        <v>3.890843984740644E-2</v>
      </c>
      <c r="AG43" s="29">
        <f t="shared" si="46"/>
        <v>5.6276835366409594E-2</v>
      </c>
      <c r="AH43" s="29">
        <f t="shared" si="46"/>
        <v>5.6959117993844011E-2</v>
      </c>
      <c r="AI43" s="29">
        <f t="shared" si="46"/>
        <v>2.5699906193443312E-2</v>
      </c>
      <c r="AJ43" s="29">
        <f t="shared" si="46"/>
        <v>-6.7804082340972016E-5</v>
      </c>
      <c r="AK43" s="29">
        <f t="shared" si="46"/>
        <v>5.7700984200495187E-2</v>
      </c>
      <c r="AL43" s="29">
        <f t="shared" si="46"/>
        <v>-2.2183441262624282E-3</v>
      </c>
      <c r="AM43" s="29">
        <f t="shared" si="46"/>
        <v>3.9668514248327069E-2</v>
      </c>
      <c r="AN43" s="29">
        <f t="shared" si="46"/>
        <v>3.5360782388349499E-2</v>
      </c>
      <c r="AO43" s="29">
        <f t="shared" si="46"/>
        <v>6.4933469912080044E-2</v>
      </c>
    </row>
    <row r="44" spans="1:41" ht="14.25" x14ac:dyDescent="0.2">
      <c r="B44" s="192" t="s">
        <v>137</v>
      </c>
      <c r="C44" s="2">
        <v>7933.8</v>
      </c>
      <c r="D44" s="2">
        <v>8932.0000000000091</v>
      </c>
      <c r="E44" s="36">
        <v>10996.5</v>
      </c>
      <c r="F44" s="2">
        <v>16058.799999999996</v>
      </c>
      <c r="G44" s="2">
        <v>19663.334000789997</v>
      </c>
      <c r="H44" s="2">
        <v>22756.703227880018</v>
      </c>
      <c r="I44" s="2">
        <v>18002.310245810004</v>
      </c>
      <c r="J44" s="2">
        <v>24097.494694890025</v>
      </c>
      <c r="K44" s="2">
        <v>34196.198706030009</v>
      </c>
      <c r="L44" s="2">
        <v>31120.768080089969</v>
      </c>
      <c r="M44" s="2">
        <v>26845.90547941011</v>
      </c>
      <c r="N44" s="2">
        <v>29320.74696231995</v>
      </c>
      <c r="O44" s="2">
        <v>33407.215505000029</v>
      </c>
      <c r="P44" s="2">
        <v>35636.524790730065</v>
      </c>
      <c r="Q44" s="2">
        <v>34034.841082929946</v>
      </c>
      <c r="R44" s="2">
        <v>33880.231649740032</v>
      </c>
      <c r="S44" s="2">
        <v>34401.318430759915</v>
      </c>
      <c r="T44" s="2">
        <v>30344.085599559963</v>
      </c>
      <c r="U44" s="2">
        <v>31595.776874229923</v>
      </c>
      <c r="V44" s="2">
        <v>33913.092659869959</v>
      </c>
      <c r="W44" s="29">
        <f t="shared" si="45"/>
        <v>0.12581612846303281</v>
      </c>
      <c r="X44" s="29">
        <f t="shared" si="45"/>
        <v>0.23113524406627728</v>
      </c>
      <c r="Y44" s="29">
        <f t="shared" si="45"/>
        <v>0.46035556768062524</v>
      </c>
      <c r="Z44" s="29">
        <f t="shared" si="45"/>
        <v>0.22445849009826402</v>
      </c>
      <c r="AA44" s="29">
        <f t="shared" si="45"/>
        <v>0.15731661919416817</v>
      </c>
      <c r="AB44" s="29">
        <f t="shared" si="45"/>
        <v>-0.20892274836388625</v>
      </c>
      <c r="AC44" s="29">
        <f t="shared" si="45"/>
        <v>0.33857790282770295</v>
      </c>
      <c r="AD44" s="29">
        <f t="shared" si="45"/>
        <v>0.4190769264193035</v>
      </c>
      <c r="AE44" s="29">
        <f t="shared" si="45"/>
        <v>-8.9934868269370916E-2</v>
      </c>
      <c r="AF44" s="29">
        <f t="shared" si="45"/>
        <v>-0.13736365984536136</v>
      </c>
      <c r="AG44" s="29">
        <f t="shared" si="46"/>
        <v>9.2186925295105304E-2</v>
      </c>
      <c r="AH44" s="29">
        <f t="shared" si="46"/>
        <v>0.13937122911403299</v>
      </c>
      <c r="AI44" s="29">
        <f t="shared" si="46"/>
        <v>6.6731370814079982E-2</v>
      </c>
      <c r="AJ44" s="29">
        <f t="shared" si="46"/>
        <v>-4.4945002836436987E-2</v>
      </c>
      <c r="AK44" s="29">
        <f t="shared" si="46"/>
        <v>-4.5426812134421457E-3</v>
      </c>
      <c r="AL44" s="29">
        <f t="shared" si="46"/>
        <v>1.5380260277054081E-2</v>
      </c>
      <c r="AM44" s="29">
        <f t="shared" si="46"/>
        <v>-0.11793829470129202</v>
      </c>
      <c r="AN44" s="29">
        <f t="shared" si="46"/>
        <v>4.1249925642449226E-2</v>
      </c>
      <c r="AO44" s="29">
        <f t="shared" si="46"/>
        <v>7.3342579765148352E-2</v>
      </c>
    </row>
    <row r="45" spans="1:41" ht="14.25" x14ac:dyDescent="0.2">
      <c r="B45" s="191" t="s">
        <v>136</v>
      </c>
      <c r="C45" s="2">
        <v>5985.4</v>
      </c>
      <c r="D45" s="2">
        <v>9951.2999999999993</v>
      </c>
      <c r="E45" s="36">
        <v>8700.1999999999935</v>
      </c>
      <c r="F45" s="2">
        <v>10804.099999999988</v>
      </c>
      <c r="G45" s="2">
        <v>12993.455163860028</v>
      </c>
      <c r="H45" s="2">
        <v>14728.171738889981</v>
      </c>
      <c r="I45" s="2">
        <v>15452.642465580017</v>
      </c>
      <c r="J45" s="2">
        <v>16018.022914709965</v>
      </c>
      <c r="K45" s="2">
        <v>19285.842586549985</v>
      </c>
      <c r="L45" s="2">
        <v>17364.467558899996</v>
      </c>
      <c r="M45" s="2">
        <v>21409.565427399975</v>
      </c>
      <c r="N45" s="2">
        <v>17878.609699100012</v>
      </c>
      <c r="O45" s="2">
        <v>18278.749838100004</v>
      </c>
      <c r="P45" s="2">
        <v>22880.999622039992</v>
      </c>
      <c r="Q45" s="2">
        <v>22191.496799749966</v>
      </c>
      <c r="R45" s="2">
        <v>32227.101952929857</v>
      </c>
      <c r="S45" s="2">
        <v>33816.483752630018</v>
      </c>
      <c r="T45" s="2">
        <v>39298.263645300038</v>
      </c>
      <c r="U45" s="2">
        <v>30221.144759480034</v>
      </c>
      <c r="V45" s="2">
        <v>32716.074520890026</v>
      </c>
      <c r="W45" s="29">
        <f t="shared" si="45"/>
        <v>0.66259564941357296</v>
      </c>
      <c r="X45" s="29">
        <f t="shared" si="45"/>
        <v>-0.1257222674424453</v>
      </c>
      <c r="Y45" s="29">
        <f t="shared" si="45"/>
        <v>0.2418220270798368</v>
      </c>
      <c r="Z45" s="29">
        <f t="shared" si="45"/>
        <v>0.20264114214604101</v>
      </c>
      <c r="AA45" s="29">
        <f t="shared" si="45"/>
        <v>0.13350695047264183</v>
      </c>
      <c r="AB45" s="29">
        <f t="shared" si="45"/>
        <v>4.9189454029590074E-2</v>
      </c>
      <c r="AC45" s="29">
        <f t="shared" si="45"/>
        <v>3.6587946067431876E-2</v>
      </c>
      <c r="AD45" s="29">
        <f t="shared" si="45"/>
        <v>0.20400892727148334</v>
      </c>
      <c r="AE45" s="29">
        <f t="shared" si="45"/>
        <v>-9.9626190508780854E-2</v>
      </c>
      <c r="AF45" s="29">
        <f t="shared" si="45"/>
        <v>0.23295260017498798</v>
      </c>
      <c r="AG45" s="29">
        <f t="shared" si="46"/>
        <v>-0.16492421297730053</v>
      </c>
      <c r="AH45" s="29">
        <f t="shared" si="46"/>
        <v>2.2380942687066696E-2</v>
      </c>
      <c r="AI45" s="29">
        <f t="shared" si="46"/>
        <v>0.25178143060676472</v>
      </c>
      <c r="AJ45" s="29">
        <f t="shared" si="46"/>
        <v>-3.0134296301716934E-2</v>
      </c>
      <c r="AK45" s="29">
        <f t="shared" si="46"/>
        <v>0.45222750153982227</v>
      </c>
      <c r="AL45" s="29">
        <f t="shared" si="46"/>
        <v>4.9318173319511383E-2</v>
      </c>
      <c r="AM45" s="29">
        <f t="shared" si="46"/>
        <v>0.16210378148034632</v>
      </c>
      <c r="AN45" s="29">
        <f t="shared" si="46"/>
        <v>-0.23098015138146188</v>
      </c>
      <c r="AO45" s="29">
        <f t="shared" si="46"/>
        <v>8.2555766211581449E-2</v>
      </c>
    </row>
    <row r="46" spans="1:41" x14ac:dyDescent="0.2">
      <c r="B46" s="1" t="s">
        <v>17</v>
      </c>
      <c r="C46" s="5">
        <f>+C47+C48</f>
        <v>23805.80000000009</v>
      </c>
      <c r="D46" s="5">
        <f t="shared" ref="D46:L46" si="47">+D47+D48</f>
        <v>16735.200000000019</v>
      </c>
      <c r="E46" s="37">
        <f t="shared" si="47"/>
        <v>16994.499999999978</v>
      </c>
      <c r="F46" s="5">
        <f t="shared" si="47"/>
        <v>11718.600000000079</v>
      </c>
      <c r="G46" s="5">
        <f t="shared" si="47"/>
        <v>17828.921825370006</v>
      </c>
      <c r="H46" s="5">
        <f t="shared" si="47"/>
        <v>17694.35291759999</v>
      </c>
      <c r="I46" s="5">
        <f t="shared" si="47"/>
        <v>22672.725649759952</v>
      </c>
      <c r="J46" s="5">
        <f t="shared" si="47"/>
        <v>29760.616255959983</v>
      </c>
      <c r="K46" s="5">
        <f t="shared" si="47"/>
        <v>24634.701428250082</v>
      </c>
      <c r="L46" s="5">
        <f t="shared" si="47"/>
        <v>40039.687385480021</v>
      </c>
      <c r="M46" s="5">
        <f t="shared" ref="M46:R46" si="48">+M47+M48</f>
        <v>40086.62447361985</v>
      </c>
      <c r="N46" s="5">
        <f t="shared" si="48"/>
        <v>60307.820449899809</v>
      </c>
      <c r="O46" s="5">
        <f t="shared" si="48"/>
        <v>91540.323090639911</v>
      </c>
      <c r="P46" s="5">
        <f t="shared" si="48"/>
        <v>78009.145262730191</v>
      </c>
      <c r="Q46" s="5">
        <f t="shared" si="48"/>
        <v>68419.666089749677</v>
      </c>
      <c r="R46" s="5">
        <f t="shared" si="48"/>
        <v>74520.778354900191</v>
      </c>
      <c r="S46" s="5">
        <f>+S47+S48</f>
        <v>68432.516000959789</v>
      </c>
      <c r="T46" s="5">
        <f>+T47+T48</f>
        <v>90638.75922762003</v>
      </c>
      <c r="U46" s="5">
        <f>+U47+U48</f>
        <v>121291.30116306985</v>
      </c>
      <c r="V46" s="5">
        <f>+V47+V48</f>
        <v>159364.52900020033</v>
      </c>
      <c r="W46" s="31">
        <f t="shared" si="45"/>
        <v>-0.29701165262247198</v>
      </c>
      <c r="X46" s="31">
        <f t="shared" si="45"/>
        <v>1.5494287489839387E-2</v>
      </c>
      <c r="Y46" s="31">
        <f t="shared" si="45"/>
        <v>-0.31044749771984503</v>
      </c>
      <c r="Z46" s="31">
        <f t="shared" si="45"/>
        <v>0.52142080328451224</v>
      </c>
      <c r="AA46" s="31">
        <f t="shared" si="45"/>
        <v>-7.5477871902791538E-3</v>
      </c>
      <c r="AB46" s="31">
        <f t="shared" si="45"/>
        <v>0.28135376045360427</v>
      </c>
      <c r="AC46" s="31">
        <f t="shared" si="45"/>
        <v>0.31261749097533298</v>
      </c>
      <c r="AD46" s="31">
        <f t="shared" si="45"/>
        <v>-0.17223819505697779</v>
      </c>
      <c r="AE46" s="31">
        <f t="shared" si="45"/>
        <v>0.62533682423949011</v>
      </c>
      <c r="AF46" s="31">
        <f t="shared" si="45"/>
        <v>1.17226410106408E-3</v>
      </c>
      <c r="AG46" s="31">
        <f t="shared" si="46"/>
        <v>0.5044374836196821</v>
      </c>
      <c r="AH46" s="31">
        <f t="shared" si="46"/>
        <v>0.51788478521929382</v>
      </c>
      <c r="AI46" s="31">
        <f t="shared" si="46"/>
        <v>-0.14781658367659067</v>
      </c>
      <c r="AJ46" s="31">
        <f t="shared" si="46"/>
        <v>-0.12292762778881516</v>
      </c>
      <c r="AK46" s="31">
        <f t="shared" si="46"/>
        <v>8.9171909391480675E-2</v>
      </c>
      <c r="AL46" s="31">
        <f t="shared" si="46"/>
        <v>-8.1698856189416857E-2</v>
      </c>
      <c r="AM46" s="31">
        <f t="shared" si="46"/>
        <v>0.3244984186515778</v>
      </c>
      <c r="AN46" s="31">
        <f t="shared" si="46"/>
        <v>0.3381836004448433</v>
      </c>
      <c r="AO46" s="31">
        <f t="shared" si="46"/>
        <v>0.31389907991788313</v>
      </c>
    </row>
    <row r="47" spans="1:41" x14ac:dyDescent="0.2">
      <c r="B47" s="1" t="s">
        <v>3</v>
      </c>
      <c r="C47" s="2">
        <v>15073.900000000081</v>
      </c>
      <c r="D47" s="27">
        <v>7889.2000000000116</v>
      </c>
      <c r="E47" s="36">
        <v>10310.9</v>
      </c>
      <c r="F47" s="2">
        <v>10230.000000000073</v>
      </c>
      <c r="G47" s="2">
        <v>16603.094443240003</v>
      </c>
      <c r="H47" s="2">
        <v>16664.892985469989</v>
      </c>
      <c r="I47" s="2">
        <v>21733.761360519951</v>
      </c>
      <c r="J47" s="2">
        <v>18684.587044159991</v>
      </c>
      <c r="K47" s="2">
        <v>24466.851376450068</v>
      </c>
      <c r="L47" s="2">
        <v>28854.552060950038</v>
      </c>
      <c r="M47" s="2">
        <v>39298.222779169839</v>
      </c>
      <c r="N47" s="2">
        <v>59651.007507879825</v>
      </c>
      <c r="O47" s="2">
        <v>90901.681159219923</v>
      </c>
      <c r="P47" s="2">
        <v>77946.26573720017</v>
      </c>
      <c r="Q47" s="2">
        <v>66708.618726999674</v>
      </c>
      <c r="R47" s="2">
        <v>71228.338010260195</v>
      </c>
      <c r="S47" s="2">
        <v>60990.277624429815</v>
      </c>
      <c r="T47" s="2">
        <v>76148.423359940061</v>
      </c>
      <c r="U47" s="2">
        <v>78101.550541089789</v>
      </c>
      <c r="V47" s="2">
        <v>116097.42533186032</v>
      </c>
      <c r="W47" s="29">
        <f t="shared" si="45"/>
        <v>-0.47663179402809031</v>
      </c>
      <c r="X47" s="29">
        <f t="shared" si="45"/>
        <v>0.30696395071743443</v>
      </c>
      <c r="Y47" s="29">
        <f t="shared" si="45"/>
        <v>-7.8460658138403971E-3</v>
      </c>
      <c r="Z47" s="29">
        <f t="shared" si="45"/>
        <v>0.62298088399216867</v>
      </c>
      <c r="AA47" s="29">
        <f t="shared" si="45"/>
        <v>3.7221099019375536E-3</v>
      </c>
      <c r="AB47" s="29">
        <f t="shared" si="45"/>
        <v>0.3041644719512735</v>
      </c>
      <c r="AC47" s="29">
        <f t="shared" si="45"/>
        <v>-0.14029666866126911</v>
      </c>
      <c r="AD47" s="29">
        <f t="shared" si="45"/>
        <v>0.3094670660167127</v>
      </c>
      <c r="AE47" s="29">
        <f t="shared" si="45"/>
        <v>0.17933246158200955</v>
      </c>
      <c r="AF47" s="29">
        <f t="shared" si="45"/>
        <v>0.36194187649003973</v>
      </c>
      <c r="AG47" s="29">
        <f t="shared" si="46"/>
        <v>0.51790598376621877</v>
      </c>
      <c r="AH47" s="29">
        <f t="shared" si="46"/>
        <v>0.52389179926612162</v>
      </c>
      <c r="AI47" s="29">
        <f t="shared" si="46"/>
        <v>-0.14252118615196496</v>
      </c>
      <c r="AJ47" s="29">
        <f t="shared" si="46"/>
        <v>-0.14417171757898961</v>
      </c>
      <c r="AK47" s="29">
        <f t="shared" si="46"/>
        <v>6.7753153483167683E-2</v>
      </c>
      <c r="AL47" s="29">
        <f t="shared" si="46"/>
        <v>-0.14373577528027714</v>
      </c>
      <c r="AM47" s="29">
        <f t="shared" si="46"/>
        <v>0.24853380449999141</v>
      </c>
      <c r="AN47" s="29">
        <f t="shared" si="46"/>
        <v>2.5648951021843835E-2</v>
      </c>
      <c r="AO47" s="29">
        <f t="shared" si="46"/>
        <v>0.48649321975727777</v>
      </c>
    </row>
    <row r="48" spans="1:41" x14ac:dyDescent="0.2">
      <c r="B48" s="1" t="s">
        <v>4</v>
      </c>
      <c r="C48" s="2">
        <v>8731.9000000000087</v>
      </c>
      <c r="D48" s="27">
        <v>8846.0000000000091</v>
      </c>
      <c r="E48" s="36">
        <v>6683.5999999999804</v>
      </c>
      <c r="F48" s="2">
        <v>1488.6000000000058</v>
      </c>
      <c r="G48" s="2">
        <v>1225.8273821300027</v>
      </c>
      <c r="H48" s="2">
        <v>1029.4599321300011</v>
      </c>
      <c r="I48" s="2">
        <v>938.96428924000065</v>
      </c>
      <c r="J48" s="2">
        <v>11076.029211799991</v>
      </c>
      <c r="K48" s="2">
        <v>167.85005180001463</v>
      </c>
      <c r="L48" s="2">
        <v>11185.135324529987</v>
      </c>
      <c r="M48" s="2">
        <v>788.40169445001084</v>
      </c>
      <c r="N48" s="2">
        <v>656.81294201998753</v>
      </c>
      <c r="O48" s="2">
        <v>638.64193141999203</v>
      </c>
      <c r="P48" s="2">
        <v>62.879525530024694</v>
      </c>
      <c r="Q48" s="2">
        <v>1711.0473627500032</v>
      </c>
      <c r="R48" s="2">
        <v>3292.4403446400029</v>
      </c>
      <c r="S48" s="2">
        <v>7442.2383765299819</v>
      </c>
      <c r="T48" s="2">
        <v>14490.335867679969</v>
      </c>
      <c r="U48" s="2">
        <v>43189.750621980056</v>
      </c>
      <c r="V48" s="2">
        <v>43267.103668340009</v>
      </c>
      <c r="W48" s="29">
        <f t="shared" si="45"/>
        <v>1.3067030085090359E-2</v>
      </c>
      <c r="X48" s="29">
        <f t="shared" si="45"/>
        <v>-0.24444946868641493</v>
      </c>
      <c r="Y48" s="29">
        <f t="shared" si="45"/>
        <v>-0.77727571967203146</v>
      </c>
      <c r="Z48" s="29">
        <f t="shared" si="45"/>
        <v>-0.17652332249765024</v>
      </c>
      <c r="AA48" s="29">
        <f t="shared" si="45"/>
        <v>-0.16019176342658681</v>
      </c>
      <c r="AB48" s="29">
        <f t="shared" si="45"/>
        <v>-8.7905939867674809E-2</v>
      </c>
      <c r="AC48" s="29">
        <f t="shared" si="45"/>
        <v>10.796006875580911</v>
      </c>
      <c r="AD48" s="29">
        <f t="shared" si="45"/>
        <v>-0.98484564742559599</v>
      </c>
      <c r="AE48" s="29">
        <f t="shared" si="45"/>
        <v>65.637663823044548</v>
      </c>
      <c r="AF48" s="29">
        <f t="shared" si="45"/>
        <v>-0.92951344158340432</v>
      </c>
      <c r="AG48" s="29">
        <f t="shared" si="46"/>
        <v>-0.16690571996020331</v>
      </c>
      <c r="AH48" s="29">
        <f t="shared" si="46"/>
        <v>-2.7665427152077204E-2</v>
      </c>
      <c r="AI48" s="29">
        <f t="shared" si="46"/>
        <v>-0.90154181484730445</v>
      </c>
      <c r="AJ48" s="29">
        <f t="shared" si="46"/>
        <v>26.211518349211872</v>
      </c>
      <c r="AK48" s="29">
        <f t="shared" si="46"/>
        <v>0.92422513620451596</v>
      </c>
      <c r="AL48" s="29">
        <f t="shared" si="46"/>
        <v>1.2604018896335449</v>
      </c>
      <c r="AM48" s="29">
        <f t="shared" si="46"/>
        <v>0.94704000793323595</v>
      </c>
      <c r="AN48" s="29">
        <f t="shared" si="46"/>
        <v>1.9805900302361397</v>
      </c>
      <c r="AO48" s="29">
        <f t="shared" si="46"/>
        <v>1.7910047000961882E-3</v>
      </c>
    </row>
    <row r="49" spans="1:41" x14ac:dyDescent="0.2">
      <c r="C49" s="2"/>
      <c r="D49" s="2"/>
      <c r="E49" s="36"/>
      <c r="W49" s="29"/>
      <c r="X49" s="29"/>
      <c r="Y49" s="29"/>
      <c r="Z49" s="29"/>
      <c r="AA49" s="29"/>
      <c r="AB49" s="29"/>
      <c r="AC49" s="29"/>
      <c r="AD49" s="29"/>
      <c r="AE49" s="29"/>
      <c r="AF49" s="29"/>
      <c r="AG49" s="29"/>
      <c r="AH49" s="29"/>
      <c r="AI49" s="29"/>
      <c r="AJ49" s="29"/>
      <c r="AK49" s="29"/>
      <c r="AL49" s="29"/>
      <c r="AM49" s="29"/>
      <c r="AN49" s="29"/>
      <c r="AO49" s="29"/>
    </row>
    <row r="50" spans="1:41" ht="14.25" x14ac:dyDescent="0.2">
      <c r="B50" s="1" t="s">
        <v>54</v>
      </c>
      <c r="C50" s="5">
        <f>+C51+C52+C53+C54</f>
        <v>42219.700000000004</v>
      </c>
      <c r="D50" s="5">
        <f t="shared" ref="D50:O50" si="49">+D51+D52+D53+D54</f>
        <v>61471.200000000106</v>
      </c>
      <c r="E50" s="37">
        <f t="shared" si="49"/>
        <v>85382.530515230043</v>
      </c>
      <c r="F50" s="5">
        <f t="shared" si="49"/>
        <v>107339.22238865</v>
      </c>
      <c r="G50" s="5">
        <f t="shared" si="49"/>
        <v>128353.07791432996</v>
      </c>
      <c r="H50" s="5">
        <f t="shared" si="49"/>
        <v>115370.79074565998</v>
      </c>
      <c r="I50" s="5">
        <f t="shared" si="49"/>
        <v>147595.08193747996</v>
      </c>
      <c r="J50" s="5">
        <f t="shared" si="49"/>
        <v>162293.76611968991</v>
      </c>
      <c r="K50" s="5">
        <f t="shared" si="49"/>
        <v>174412.10627689</v>
      </c>
      <c r="L50" s="5">
        <f t="shared" si="49"/>
        <v>173254.24231010998</v>
      </c>
      <c r="M50" s="5">
        <f t="shared" si="49"/>
        <v>197061.39080016999</v>
      </c>
      <c r="N50" s="5">
        <f t="shared" si="49"/>
        <v>188336.91252633947</v>
      </c>
      <c r="O50" s="5">
        <f t="shared" si="49"/>
        <v>199828.08770362023</v>
      </c>
      <c r="P50" s="5">
        <f t="shared" ref="P50:V50" si="50">+P51+P52+P53+P54</f>
        <v>231908.69732815961</v>
      </c>
      <c r="Q50" s="5">
        <f t="shared" si="50"/>
        <v>229012.93377438997</v>
      </c>
      <c r="R50" s="5">
        <f t="shared" si="50"/>
        <v>253089.73509403973</v>
      </c>
      <c r="S50" s="5">
        <f t="shared" si="50"/>
        <v>250740.21494558055</v>
      </c>
      <c r="T50" s="5">
        <f t="shared" si="50"/>
        <v>226717.81020967974</v>
      </c>
      <c r="U50" s="5">
        <f t="shared" si="50"/>
        <v>278758.21177346009</v>
      </c>
      <c r="V50" s="5">
        <f t="shared" si="50"/>
        <v>284274.72819601919</v>
      </c>
      <c r="W50" s="29">
        <f t="shared" ref="W50:AF54" si="51">+D50/C50-1</f>
        <v>0.45598381798070808</v>
      </c>
      <c r="X50" s="29">
        <f t="shared" si="51"/>
        <v>0.38898428069128133</v>
      </c>
      <c r="Y50" s="29">
        <f t="shared" si="51"/>
        <v>0.25715672446020377</v>
      </c>
      <c r="Z50" s="29">
        <f t="shared" si="51"/>
        <v>0.19577052132531514</v>
      </c>
      <c r="AA50" s="29">
        <f t="shared" si="51"/>
        <v>-0.10114511766780598</v>
      </c>
      <c r="AB50" s="29">
        <f t="shared" si="51"/>
        <v>0.27931065552683831</v>
      </c>
      <c r="AC50" s="29">
        <f t="shared" si="51"/>
        <v>9.9587899469686825E-2</v>
      </c>
      <c r="AD50" s="29">
        <f t="shared" si="51"/>
        <v>7.4669165963299866E-2</v>
      </c>
      <c r="AE50" s="29">
        <f t="shared" si="51"/>
        <v>-6.6386674153331438E-3</v>
      </c>
      <c r="AF50" s="29">
        <f t="shared" si="51"/>
        <v>0.13741163375063148</v>
      </c>
      <c r="AG50" s="29">
        <f t="shared" ref="AG50:AO54" si="52">+N50/M50-1</f>
        <v>-4.4272895052677175E-2</v>
      </c>
      <c r="AH50" s="29">
        <f t="shared" si="52"/>
        <v>6.101392989371468E-2</v>
      </c>
      <c r="AI50" s="29">
        <f t="shared" si="52"/>
        <v>0.16054104301954042</v>
      </c>
      <c r="AJ50" s="29">
        <f t="shared" si="52"/>
        <v>-1.248665352844458E-2</v>
      </c>
      <c r="AK50" s="29">
        <f t="shared" si="52"/>
        <v>0.10513293255030209</v>
      </c>
      <c r="AL50" s="29">
        <f t="shared" si="52"/>
        <v>-9.2833482463687833E-3</v>
      </c>
      <c r="AM50" s="29">
        <f t="shared" si="52"/>
        <v>-9.5805950956509012E-2</v>
      </c>
      <c r="AN50" s="29">
        <f t="shared" si="52"/>
        <v>0.2295382154390555</v>
      </c>
      <c r="AO50" s="29">
        <f t="shared" si="52"/>
        <v>1.9789610456542261E-2</v>
      </c>
    </row>
    <row r="51" spans="1:41" x14ac:dyDescent="0.2">
      <c r="B51" s="1" t="s">
        <v>6</v>
      </c>
      <c r="C51" s="2">
        <v>21337.100000000002</v>
      </c>
      <c r="D51" s="2">
        <f>29812.6-563.6-2065.3</f>
        <v>27183.7</v>
      </c>
      <c r="E51" s="36">
        <v>33488.714940140002</v>
      </c>
      <c r="F51" s="2">
        <v>35478.939750550009</v>
      </c>
      <c r="G51" s="2">
        <v>41149.377911609983</v>
      </c>
      <c r="H51" s="2">
        <v>43762.481430099993</v>
      </c>
      <c r="I51" s="2">
        <v>48767.570569749972</v>
      </c>
      <c r="J51" s="2">
        <v>50868.338324859986</v>
      </c>
      <c r="K51" s="2">
        <v>58954.400000000001</v>
      </c>
      <c r="L51" s="2">
        <v>63795.600290239985</v>
      </c>
      <c r="M51" s="2">
        <v>64843.649514819946</v>
      </c>
      <c r="N51" s="2">
        <v>66020.819325439865</v>
      </c>
      <c r="O51" s="2">
        <v>66319.59525199022</v>
      </c>
      <c r="P51" s="2">
        <v>73405.35988824995</v>
      </c>
      <c r="Q51" s="2">
        <v>81352.27381357002</v>
      </c>
      <c r="R51" s="2">
        <v>77606.21006947993</v>
      </c>
      <c r="S51" s="2">
        <v>84071.823848940316</v>
      </c>
      <c r="T51" s="2">
        <v>81653.284207220218</v>
      </c>
      <c r="U51" s="2">
        <v>83054.333895030024</v>
      </c>
      <c r="V51" s="2">
        <v>86900.011599869846</v>
      </c>
      <c r="W51" s="29">
        <f t="shared" si="51"/>
        <v>0.27401099493370684</v>
      </c>
      <c r="X51" s="29">
        <f t="shared" si="51"/>
        <v>0.23194101392157807</v>
      </c>
      <c r="Y51" s="29">
        <f t="shared" si="51"/>
        <v>5.9429715770445979E-2</v>
      </c>
      <c r="Z51" s="29">
        <f t="shared" si="51"/>
        <v>0.15982546831806244</v>
      </c>
      <c r="AA51" s="29">
        <f t="shared" si="51"/>
        <v>6.3502868113900268E-2</v>
      </c>
      <c r="AB51" s="29">
        <f t="shared" si="51"/>
        <v>0.11436940904835113</v>
      </c>
      <c r="AC51" s="29">
        <f t="shared" si="51"/>
        <v>4.3077145951024631E-2</v>
      </c>
      <c r="AD51" s="29">
        <f t="shared" si="51"/>
        <v>0.15896060184824745</v>
      </c>
      <c r="AE51" s="29">
        <f t="shared" si="51"/>
        <v>8.2117709454086363E-2</v>
      </c>
      <c r="AF51" s="29">
        <f t="shared" si="51"/>
        <v>1.6428236740650304E-2</v>
      </c>
      <c r="AG51" s="29">
        <f t="shared" si="52"/>
        <v>1.8153972199712154E-2</v>
      </c>
      <c r="AH51" s="29">
        <f t="shared" si="52"/>
        <v>4.5254804409133875E-3</v>
      </c>
      <c r="AI51" s="29">
        <f t="shared" si="52"/>
        <v>0.10684270025075415</v>
      </c>
      <c r="AJ51" s="29">
        <f t="shared" si="52"/>
        <v>0.10826067656937055</v>
      </c>
      <c r="AK51" s="29">
        <f t="shared" si="52"/>
        <v>-4.6047437502173771E-2</v>
      </c>
      <c r="AL51" s="29">
        <f t="shared" si="52"/>
        <v>8.3313097929557323E-2</v>
      </c>
      <c r="AM51" s="29">
        <f t="shared" si="52"/>
        <v>-2.8767541026179178E-2</v>
      </c>
      <c r="AN51" s="29">
        <f t="shared" si="52"/>
        <v>1.7158522175963142E-2</v>
      </c>
      <c r="AO51" s="29">
        <f t="shared" si="52"/>
        <v>4.6303155109283844E-2</v>
      </c>
    </row>
    <row r="52" spans="1:41" x14ac:dyDescent="0.2">
      <c r="B52" s="1" t="s">
        <v>56</v>
      </c>
      <c r="C52" s="2">
        <v>20655.900000000001</v>
      </c>
      <c r="D52" s="2">
        <f>30639.7000000001+875+563.6+2065.3</f>
        <v>34143.6000000001</v>
      </c>
      <c r="E52" s="36">
        <v>50955.51557509003</v>
      </c>
      <c r="F52" s="2">
        <v>71022.682638099999</v>
      </c>
      <c r="G52" s="2">
        <v>86681.509188859985</v>
      </c>
      <c r="H52" s="2">
        <v>71012.953007729986</v>
      </c>
      <c r="I52" s="2">
        <v>98105.648554029991</v>
      </c>
      <c r="J52" s="2">
        <v>111163.83771318995</v>
      </c>
      <c r="K52" s="2">
        <v>115268.6</v>
      </c>
      <c r="L52" s="2">
        <v>108717.50843496999</v>
      </c>
      <c r="M52" s="2">
        <v>131866.33341611005</v>
      </c>
      <c r="N52" s="2">
        <v>119417.83252213961</v>
      </c>
      <c r="O52" s="2">
        <v>133193.25828213</v>
      </c>
      <c r="P52" s="2">
        <v>157576.73332826968</v>
      </c>
      <c r="Q52" s="2">
        <v>147137.04192539994</v>
      </c>
      <c r="R52" s="2">
        <v>175009.5360840598</v>
      </c>
      <c r="S52" s="2">
        <v>165798.95197388023</v>
      </c>
      <c r="T52" s="2">
        <v>144586.88570948952</v>
      </c>
      <c r="U52" s="2">
        <v>194419.41885621008</v>
      </c>
      <c r="V52" s="2">
        <v>196503.80068610935</v>
      </c>
      <c r="W52" s="29">
        <f t="shared" si="51"/>
        <v>0.65297082189592803</v>
      </c>
      <c r="X52" s="29">
        <f t="shared" si="51"/>
        <v>0.49238848788908851</v>
      </c>
      <c r="Y52" s="29">
        <f t="shared" si="51"/>
        <v>0.39381736867009431</v>
      </c>
      <c r="Z52" s="29">
        <f t="shared" si="51"/>
        <v>0.22047641639432847</v>
      </c>
      <c r="AA52" s="29">
        <f t="shared" si="51"/>
        <v>-0.1807600759118263</v>
      </c>
      <c r="AB52" s="29">
        <f t="shared" si="51"/>
        <v>0.38151765838199792</v>
      </c>
      <c r="AC52" s="29">
        <f t="shared" si="51"/>
        <v>0.13310333657259688</v>
      </c>
      <c r="AD52" s="29">
        <f t="shared" si="51"/>
        <v>3.6925338052835377E-2</v>
      </c>
      <c r="AE52" s="29">
        <f t="shared" si="51"/>
        <v>-5.6833270856330498E-2</v>
      </c>
      <c r="AF52" s="29">
        <f t="shared" si="51"/>
        <v>0.21292637510163925</v>
      </c>
      <c r="AG52" s="29">
        <f t="shared" si="52"/>
        <v>-9.4402419264124404E-2</v>
      </c>
      <c r="AH52" s="29">
        <f t="shared" si="52"/>
        <v>0.11535484666778295</v>
      </c>
      <c r="AI52" s="29">
        <f t="shared" si="52"/>
        <v>0.18306838769940281</v>
      </c>
      <c r="AJ52" s="29">
        <f t="shared" si="52"/>
        <v>-6.6251477501576228E-2</v>
      </c>
      <c r="AK52" s="29">
        <f t="shared" si="52"/>
        <v>0.18943220411343797</v>
      </c>
      <c r="AL52" s="29">
        <f t="shared" si="52"/>
        <v>-5.2629041344098959E-2</v>
      </c>
      <c r="AM52" s="29">
        <f t="shared" si="52"/>
        <v>-0.1279384821909636</v>
      </c>
      <c r="AN52" s="29">
        <f t="shared" si="52"/>
        <v>0.34465458538782223</v>
      </c>
      <c r="AO52" s="29">
        <f t="shared" si="52"/>
        <v>1.0721057814913282E-2</v>
      </c>
    </row>
    <row r="53" spans="1:41" x14ac:dyDescent="0.2">
      <c r="B53" s="1" t="s">
        <v>8</v>
      </c>
      <c r="C53" s="2">
        <v>140.30000000000001</v>
      </c>
      <c r="D53" s="2">
        <v>132</v>
      </c>
      <c r="E53" s="36">
        <v>270.7</v>
      </c>
      <c r="F53" s="2">
        <v>225.40000000000077</v>
      </c>
      <c r="G53" s="2">
        <v>191.37700271000017</v>
      </c>
      <c r="H53" s="2">
        <v>265.16257087000008</v>
      </c>
      <c r="I53" s="2">
        <v>258.41558865999946</v>
      </c>
      <c r="J53" s="2">
        <v>261.59008164000079</v>
      </c>
      <c r="K53" s="2">
        <v>189.10627689</v>
      </c>
      <c r="L53" s="2">
        <v>220.70912489999978</v>
      </c>
      <c r="M53" s="2">
        <v>351.40786924000463</v>
      </c>
      <c r="N53" s="2">
        <v>321.74067875999776</v>
      </c>
      <c r="O53" s="2">
        <v>315.23416949999989</v>
      </c>
      <c r="P53" s="2">
        <v>388.83547534000149</v>
      </c>
      <c r="Q53" s="2">
        <v>478.41227441999683</v>
      </c>
      <c r="R53" s="2">
        <v>471.09363619000044</v>
      </c>
      <c r="S53" s="2">
        <v>868.77286541999661</v>
      </c>
      <c r="T53" s="2">
        <v>462.32500097000189</v>
      </c>
      <c r="U53" s="2">
        <v>1283.5395342199997</v>
      </c>
      <c r="V53" s="2">
        <v>870.9159100400002</v>
      </c>
      <c r="W53" s="29">
        <f t="shared" si="51"/>
        <v>-5.9158945117605222E-2</v>
      </c>
      <c r="X53" s="29">
        <f t="shared" si="51"/>
        <v>1.0507575757575758</v>
      </c>
      <c r="Y53" s="29">
        <f t="shared" si="51"/>
        <v>-0.16734392316216928</v>
      </c>
      <c r="Z53" s="29">
        <f t="shared" si="51"/>
        <v>-0.15094497466726031</v>
      </c>
      <c r="AA53" s="29">
        <f t="shared" si="51"/>
        <v>0.3855508609454481</v>
      </c>
      <c r="AB53" s="29">
        <f t="shared" si="51"/>
        <v>-2.54447005392342E-2</v>
      </c>
      <c r="AC53" s="29">
        <f t="shared" si="51"/>
        <v>1.2284448459408015E-2</v>
      </c>
      <c r="AD53" s="29">
        <f t="shared" si="51"/>
        <v>-0.27708926995845629</v>
      </c>
      <c r="AE53" s="29">
        <f t="shared" si="51"/>
        <v>0.16711686428252537</v>
      </c>
      <c r="AF53" s="29">
        <f t="shared" si="51"/>
        <v>0.59217644218027976</v>
      </c>
      <c r="AG53" s="29">
        <f t="shared" si="52"/>
        <v>-8.4423807993169175E-2</v>
      </c>
      <c r="AH53" s="29">
        <f t="shared" si="52"/>
        <v>-2.0222836866865102E-2</v>
      </c>
      <c r="AI53" s="29">
        <f t="shared" si="52"/>
        <v>0.23348137023579119</v>
      </c>
      <c r="AJ53" s="29">
        <f t="shared" si="52"/>
        <v>0.23037198188171626</v>
      </c>
      <c r="AK53" s="29">
        <f t="shared" si="52"/>
        <v>-1.5297764336981379E-2</v>
      </c>
      <c r="AL53" s="29">
        <f t="shared" si="52"/>
        <v>0.84416175188918285</v>
      </c>
      <c r="AM53" s="29">
        <f t="shared" si="52"/>
        <v>-0.46784134337978311</v>
      </c>
      <c r="AN53" s="29">
        <f t="shared" si="52"/>
        <v>1.7762710896598963</v>
      </c>
      <c r="AO53" s="29">
        <f t="shared" si="52"/>
        <v>-0.32147324891768814</v>
      </c>
    </row>
    <row r="54" spans="1:41" x14ac:dyDescent="0.2">
      <c r="B54" s="18" t="s">
        <v>14</v>
      </c>
      <c r="C54" s="2">
        <v>86.400000000000091</v>
      </c>
      <c r="D54" s="2">
        <v>11.900000000000091</v>
      </c>
      <c r="E54" s="36">
        <v>667.6</v>
      </c>
      <c r="F54" s="2">
        <v>612.19999999999982</v>
      </c>
      <c r="G54" s="2">
        <v>330.81381114999931</v>
      </c>
      <c r="H54" s="2">
        <v>330.19373696000002</v>
      </c>
      <c r="I54" s="2">
        <v>463.44722503999981</v>
      </c>
      <c r="J54" s="2">
        <v>0</v>
      </c>
      <c r="K54" s="2">
        <v>9.0949470177292824E-13</v>
      </c>
      <c r="L54" s="2">
        <v>520.42446000000018</v>
      </c>
      <c r="M54" s="2">
        <v>0</v>
      </c>
      <c r="N54" s="2">
        <v>2576.5200000000041</v>
      </c>
      <c r="O54" s="2">
        <v>0</v>
      </c>
      <c r="P54" s="2">
        <v>537.76863629999912</v>
      </c>
      <c r="Q54" s="2">
        <v>45.205761000004713</v>
      </c>
      <c r="R54" s="2">
        <v>2.8953043100009381</v>
      </c>
      <c r="S54" s="2">
        <v>0.66625733999999981</v>
      </c>
      <c r="T54" s="2">
        <v>15.315291999998022</v>
      </c>
      <c r="U54" s="2">
        <v>0.91948799999809061</v>
      </c>
      <c r="V54" s="2">
        <v>0</v>
      </c>
      <c r="W54" s="29">
        <f t="shared" si="51"/>
        <v>-0.8622685185185176</v>
      </c>
      <c r="X54" s="29">
        <f t="shared" si="51"/>
        <v>55.100840336134027</v>
      </c>
      <c r="Y54" s="29">
        <f t="shared" si="51"/>
        <v>-8.2983822648292738E-2</v>
      </c>
      <c r="Z54" s="29">
        <f t="shared" si="51"/>
        <v>-0.45963114807252625</v>
      </c>
      <c r="AA54" s="29">
        <f t="shared" si="51"/>
        <v>-1.8743902736216844E-3</v>
      </c>
      <c r="AB54" s="29">
        <f t="shared" si="51"/>
        <v>0.40356152514225974</v>
      </c>
      <c r="AC54" s="29">
        <f t="shared" si="51"/>
        <v>-1</v>
      </c>
      <c r="AD54" s="44" t="e">
        <f t="shared" si="51"/>
        <v>#DIV/0!</v>
      </c>
      <c r="AE54" s="44">
        <f t="shared" si="51"/>
        <v>572212745149045</v>
      </c>
      <c r="AF54" s="29">
        <f t="shared" si="51"/>
        <v>-1</v>
      </c>
      <c r="AG54" s="44" t="e">
        <f t="shared" si="52"/>
        <v>#DIV/0!</v>
      </c>
      <c r="AH54" s="29">
        <f t="shared" si="52"/>
        <v>-1</v>
      </c>
      <c r="AI54" s="44" t="e">
        <f t="shared" si="52"/>
        <v>#DIV/0!</v>
      </c>
      <c r="AJ54" s="29">
        <f t="shared" si="52"/>
        <v>-0.91593827168681097</v>
      </c>
      <c r="AK54" s="29">
        <f t="shared" si="52"/>
        <v>-0.93595275810088374</v>
      </c>
      <c r="AL54" s="29">
        <f t="shared" si="52"/>
        <v>-0.76988348419935726</v>
      </c>
      <c r="AM54" s="29">
        <f t="shared" si="52"/>
        <v>21.987051819943968</v>
      </c>
      <c r="AN54" s="29">
        <f t="shared" si="52"/>
        <v>-0.93996275095517545</v>
      </c>
      <c r="AO54" s="29">
        <f t="shared" si="52"/>
        <v>-1</v>
      </c>
    </row>
    <row r="55" spans="1:41" x14ac:dyDescent="0.2">
      <c r="C55" s="2"/>
      <c r="D55" s="2"/>
      <c r="E55" s="36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28"/>
      <c r="AJ55" s="28"/>
      <c r="AK55" s="28"/>
      <c r="AL55" s="28"/>
      <c r="AM55" s="28"/>
      <c r="AN55" s="28"/>
      <c r="AO55" s="28"/>
    </row>
    <row r="56" spans="1:41" x14ac:dyDescent="0.2">
      <c r="A56" s="15"/>
      <c r="B56" s="16" t="s">
        <v>9</v>
      </c>
      <c r="C56" s="21">
        <f>+C58+C59</f>
        <v>18544.5</v>
      </c>
      <c r="D56" s="20">
        <f t="shared" ref="D56:L56" si="53">+D58+D59</f>
        <v>20926.099999999995</v>
      </c>
      <c r="E56" s="38">
        <f t="shared" si="53"/>
        <v>12702.699999999972</v>
      </c>
      <c r="F56" s="20">
        <f t="shared" si="53"/>
        <v>41201.499999999956</v>
      </c>
      <c r="G56" s="20">
        <f t="shared" si="53"/>
        <v>59674.983392899972</v>
      </c>
      <c r="H56" s="20">
        <f t="shared" si="53"/>
        <v>26910.857209499991</v>
      </c>
      <c r="I56" s="20">
        <f t="shared" si="53"/>
        <v>50260.006026659961</v>
      </c>
      <c r="J56" s="20">
        <f t="shared" si="53"/>
        <v>33883.197508789977</v>
      </c>
      <c r="K56" s="20">
        <f t="shared" si="53"/>
        <v>51313.332438779973</v>
      </c>
      <c r="L56" s="20">
        <f t="shared" si="53"/>
        <v>27753.04612086996</v>
      </c>
      <c r="M56" s="20">
        <f t="shared" ref="M56:V56" si="54">+M58+M59</f>
        <v>61631.517339389946</v>
      </c>
      <c r="N56" s="20">
        <f t="shared" si="54"/>
        <v>65009.555682270009</v>
      </c>
      <c r="O56" s="20">
        <f t="shared" si="54"/>
        <v>47826.139857589995</v>
      </c>
      <c r="P56" s="20">
        <f t="shared" si="54"/>
        <v>53572.970000350033</v>
      </c>
      <c r="Q56" s="20">
        <f t="shared" si="54"/>
        <v>64955.64243035001</v>
      </c>
      <c r="R56" s="20">
        <f t="shared" si="54"/>
        <v>60548.068985719845</v>
      </c>
      <c r="S56" s="20">
        <f t="shared" si="54"/>
        <v>57322.274414240106</v>
      </c>
      <c r="T56" s="20">
        <f t="shared" si="54"/>
        <v>42956.163936549885</v>
      </c>
      <c r="U56" s="20">
        <f t="shared" si="54"/>
        <v>69003.62176525002</v>
      </c>
      <c r="V56" s="20">
        <f t="shared" si="54"/>
        <v>72536.097989799979</v>
      </c>
      <c r="W56" s="28">
        <f t="shared" ref="W56:AO56" si="55">+D56/C56-1</f>
        <v>0.12842621801612308</v>
      </c>
      <c r="X56" s="28">
        <f t="shared" si="55"/>
        <v>-0.39297336818614192</v>
      </c>
      <c r="Y56" s="28">
        <f t="shared" si="55"/>
        <v>2.243523030536819</v>
      </c>
      <c r="Z56" s="28">
        <f t="shared" si="55"/>
        <v>0.44836919512396478</v>
      </c>
      <c r="AA56" s="28">
        <f t="shared" si="55"/>
        <v>-0.54904290408731304</v>
      </c>
      <c r="AB56" s="28">
        <f t="shared" si="55"/>
        <v>0.86764790268060743</v>
      </c>
      <c r="AC56" s="28">
        <f t="shared" si="55"/>
        <v>-0.32584175396204795</v>
      </c>
      <c r="AD56" s="28">
        <f t="shared" si="55"/>
        <v>0.51441824300874406</v>
      </c>
      <c r="AE56" s="28">
        <f t="shared" si="55"/>
        <v>-0.45914551244589141</v>
      </c>
      <c r="AF56" s="28">
        <f t="shared" si="55"/>
        <v>1.2207118119925502</v>
      </c>
      <c r="AG56" s="28">
        <f t="shared" si="55"/>
        <v>5.481024139448043E-2</v>
      </c>
      <c r="AH56" s="28">
        <f t="shared" si="55"/>
        <v>-0.2643213854385168</v>
      </c>
      <c r="AI56" s="28">
        <f t="shared" si="55"/>
        <v>0.12016086098255352</v>
      </c>
      <c r="AJ56" s="28">
        <f t="shared" si="55"/>
        <v>0.21247043854252623</v>
      </c>
      <c r="AK56" s="28">
        <f t="shared" si="55"/>
        <v>-6.7855128203162196E-2</v>
      </c>
      <c r="AL56" s="28">
        <f t="shared" si="55"/>
        <v>-5.3276588758603305E-2</v>
      </c>
      <c r="AM56" s="28">
        <f t="shared" si="55"/>
        <v>-0.25062003600682958</v>
      </c>
      <c r="AN56" s="28">
        <f t="shared" si="55"/>
        <v>0.60637299613565521</v>
      </c>
      <c r="AO56" s="28">
        <f t="shared" si="55"/>
        <v>5.1192620534722399E-2</v>
      </c>
    </row>
    <row r="57" spans="1:41" x14ac:dyDescent="0.2">
      <c r="C57" s="2"/>
      <c r="D57" s="2"/>
      <c r="E57" s="36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28"/>
      <c r="AJ57" s="28"/>
      <c r="AK57" s="28"/>
      <c r="AL57" s="28"/>
      <c r="AM57" s="28"/>
      <c r="AN57" s="28"/>
      <c r="AO57" s="28"/>
    </row>
    <row r="58" spans="1:41" x14ac:dyDescent="0.2">
      <c r="B58" s="1" t="s">
        <v>13</v>
      </c>
      <c r="C58" s="2">
        <v>1925</v>
      </c>
      <c r="D58" s="2">
        <v>4233.0999999999949</v>
      </c>
      <c r="E58" s="36">
        <v>4599.4999999999909</v>
      </c>
      <c r="F58" s="2">
        <v>6482.4999999999891</v>
      </c>
      <c r="G58" s="2">
        <v>4958.6152010299811</v>
      </c>
      <c r="H58" s="2">
        <v>9278.9183989799949</v>
      </c>
      <c r="I58" s="2">
        <v>4721.9004966099974</v>
      </c>
      <c r="J58" s="2">
        <v>10934.31687527999</v>
      </c>
      <c r="K58" s="2">
        <v>11731.298383669991</v>
      </c>
      <c r="L58" s="2">
        <v>9708.3436116399826</v>
      </c>
      <c r="M58" s="2">
        <v>7696.6834033399928</v>
      </c>
      <c r="N58" s="2">
        <v>13291.394723159998</v>
      </c>
      <c r="O58" s="2">
        <v>3787.2979019900004</v>
      </c>
      <c r="P58" s="2">
        <v>7568.2917189299951</v>
      </c>
      <c r="Q58" s="2">
        <v>9656.674792910002</v>
      </c>
      <c r="R58" s="2">
        <v>29346.423864619974</v>
      </c>
      <c r="S58" s="2">
        <v>23509.682094889995</v>
      </c>
      <c r="T58" s="2">
        <v>10971.054723419946</v>
      </c>
      <c r="U58" s="2">
        <v>24511.788645240049</v>
      </c>
      <c r="V58" s="2">
        <v>35022.134631780013</v>
      </c>
      <c r="W58" s="29">
        <f t="shared" ref="W58:AF63" si="56">+D58/C58-1</f>
        <v>1.1990129870129844</v>
      </c>
      <c r="X58" s="29">
        <f t="shared" si="56"/>
        <v>8.6555951902860029E-2</v>
      </c>
      <c r="Y58" s="29">
        <f t="shared" si="56"/>
        <v>0.40939232525274538</v>
      </c>
      <c r="Z58" s="29">
        <f t="shared" si="56"/>
        <v>-0.23507671407173325</v>
      </c>
      <c r="AA58" s="29">
        <f t="shared" si="56"/>
        <v>0.87127212392940279</v>
      </c>
      <c r="AB58" s="29">
        <f t="shared" si="56"/>
        <v>-0.49111520399521325</v>
      </c>
      <c r="AC58" s="29">
        <f t="shared" si="56"/>
        <v>1.3156601633452643</v>
      </c>
      <c r="AD58" s="29">
        <f t="shared" si="56"/>
        <v>7.2888093282882149E-2</v>
      </c>
      <c r="AE58" s="29">
        <f t="shared" si="56"/>
        <v>-0.17244082503655089</v>
      </c>
      <c r="AF58" s="29">
        <f t="shared" si="56"/>
        <v>-0.20720941581508057</v>
      </c>
      <c r="AG58" s="29">
        <f t="shared" ref="AG58:AO63" si="57">+N58/M58-1</f>
        <v>0.72689898059106439</v>
      </c>
      <c r="AH58" s="29">
        <f t="shared" si="57"/>
        <v>-0.71505639694901935</v>
      </c>
      <c r="AI58" s="29">
        <f t="shared" si="57"/>
        <v>0.99833546628410375</v>
      </c>
      <c r="AJ58" s="29">
        <f t="shared" si="57"/>
        <v>0.2759385012547142</v>
      </c>
      <c r="AK58" s="29">
        <f t="shared" si="57"/>
        <v>2.0389781673259124</v>
      </c>
      <c r="AL58" s="29">
        <f t="shared" si="57"/>
        <v>-0.19889107431473962</v>
      </c>
      <c r="AM58" s="29">
        <f t="shared" si="57"/>
        <v>-0.53333887378236455</v>
      </c>
      <c r="AN58" s="29">
        <f t="shared" si="57"/>
        <v>1.2342235330313915</v>
      </c>
      <c r="AO58" s="29">
        <f>+V58/U58-1</f>
        <v>0.42878739445156611</v>
      </c>
    </row>
    <row r="59" spans="1:41" x14ac:dyDescent="0.2">
      <c r="B59" s="1" t="s">
        <v>5</v>
      </c>
      <c r="C59" s="5">
        <f>+C60+C61+C62+C63</f>
        <v>16619.5</v>
      </c>
      <c r="D59" s="5">
        <f t="shared" ref="D59:L59" si="58">+D60+D61+D62+D63</f>
        <v>16693</v>
      </c>
      <c r="E59" s="37">
        <f t="shared" si="58"/>
        <v>8103.1999999999798</v>
      </c>
      <c r="F59" s="5">
        <f t="shared" si="58"/>
        <v>34718.999999999971</v>
      </c>
      <c r="G59" s="5">
        <f t="shared" si="58"/>
        <v>54716.368191869995</v>
      </c>
      <c r="H59" s="5">
        <f t="shared" si="58"/>
        <v>17631.938810519994</v>
      </c>
      <c r="I59" s="5">
        <f t="shared" si="58"/>
        <v>45538.105530049965</v>
      </c>
      <c r="J59" s="5">
        <f t="shared" si="58"/>
        <v>22948.880633509987</v>
      </c>
      <c r="K59" s="5">
        <f t="shared" si="58"/>
        <v>39582.03405510998</v>
      </c>
      <c r="L59" s="5">
        <f t="shared" si="58"/>
        <v>18044.702509229977</v>
      </c>
      <c r="M59" s="5">
        <f t="shared" ref="M59:V59" si="59">+M60+M61+M62+M63</f>
        <v>53934.833936049952</v>
      </c>
      <c r="N59" s="5">
        <f t="shared" si="59"/>
        <v>51718.160959110013</v>
      </c>
      <c r="O59" s="5">
        <f t="shared" si="59"/>
        <v>44038.841955599994</v>
      </c>
      <c r="P59" s="5">
        <f t="shared" si="59"/>
        <v>46004.678281420034</v>
      </c>
      <c r="Q59" s="5">
        <f t="shared" si="59"/>
        <v>55298.967637440008</v>
      </c>
      <c r="R59" s="5">
        <f t="shared" si="59"/>
        <v>31201.645121099875</v>
      </c>
      <c r="S59" s="5">
        <f t="shared" si="59"/>
        <v>33812.592319350115</v>
      </c>
      <c r="T59" s="5">
        <f t="shared" si="59"/>
        <v>31985.109213129937</v>
      </c>
      <c r="U59" s="5">
        <f t="shared" si="59"/>
        <v>44491.833120009971</v>
      </c>
      <c r="V59" s="5">
        <f t="shared" si="59"/>
        <v>37513.963358019973</v>
      </c>
      <c r="W59" s="29">
        <f t="shared" si="56"/>
        <v>4.4225157194861531E-3</v>
      </c>
      <c r="X59" s="29">
        <f t="shared" si="56"/>
        <v>-0.51457497154496012</v>
      </c>
      <c r="Y59" s="29">
        <f t="shared" si="56"/>
        <v>3.2846036133873104</v>
      </c>
      <c r="Z59" s="29">
        <f t="shared" si="56"/>
        <v>0.57597765465220885</v>
      </c>
      <c r="AA59" s="29">
        <f t="shared" si="56"/>
        <v>-0.67775750852667471</v>
      </c>
      <c r="AB59" s="29">
        <f t="shared" si="56"/>
        <v>1.5827055106883603</v>
      </c>
      <c r="AC59" s="29">
        <f t="shared" si="56"/>
        <v>-0.496051046340381</v>
      </c>
      <c r="AD59" s="29">
        <f t="shared" si="56"/>
        <v>0.72479149145567656</v>
      </c>
      <c r="AE59" s="29">
        <f t="shared" si="56"/>
        <v>-0.54411886756232941</v>
      </c>
      <c r="AF59" s="29">
        <f t="shared" si="56"/>
        <v>1.9889566707160702</v>
      </c>
      <c r="AG59" s="29">
        <f t="shared" si="57"/>
        <v>-4.10990970986993E-2</v>
      </c>
      <c r="AH59" s="29">
        <f t="shared" si="57"/>
        <v>-0.1484839921044665</v>
      </c>
      <c r="AI59" s="29">
        <f t="shared" si="57"/>
        <v>4.4638692538782054E-2</v>
      </c>
      <c r="AJ59" s="29">
        <f t="shared" si="57"/>
        <v>0.20202922187967287</v>
      </c>
      <c r="AK59" s="29">
        <f t="shared" si="57"/>
        <v>-0.43576441922624809</v>
      </c>
      <c r="AL59" s="29">
        <f t="shared" si="57"/>
        <v>8.3679792783894147E-2</v>
      </c>
      <c r="AM59" s="29">
        <f t="shared" si="57"/>
        <v>-5.4047411951149149E-2</v>
      </c>
      <c r="AN59" s="29">
        <f t="shared" si="57"/>
        <v>0.39101707683855591</v>
      </c>
      <c r="AO59" s="29">
        <f t="shared" si="57"/>
        <v>-0.15683484524380586</v>
      </c>
    </row>
    <row r="60" spans="1:41" x14ac:dyDescent="0.2">
      <c r="B60" s="1" t="s">
        <v>6</v>
      </c>
      <c r="C60" s="2">
        <v>122.1</v>
      </c>
      <c r="D60" s="2">
        <v>217.4</v>
      </c>
      <c r="E60" s="36">
        <v>70.900000000000063</v>
      </c>
      <c r="F60" s="2">
        <v>10315.099999999997</v>
      </c>
      <c r="G60" s="2">
        <v>717.88545655999974</v>
      </c>
      <c r="H60" s="2">
        <v>494.19314679000001</v>
      </c>
      <c r="I60" s="2">
        <v>633.14360826999928</v>
      </c>
      <c r="J60" s="2">
        <v>1152.0541422800002</v>
      </c>
      <c r="K60" s="2">
        <v>2446.6884280000027</v>
      </c>
      <c r="L60" s="2">
        <v>1651.730933339998</v>
      </c>
      <c r="M60" s="2">
        <v>3538.4819072300015</v>
      </c>
      <c r="N60" s="2">
        <v>406.54411631000028</v>
      </c>
      <c r="O60" s="2">
        <v>1679.7904933900002</v>
      </c>
      <c r="P60" s="2">
        <v>1504.8795604499992</v>
      </c>
      <c r="Q60" s="2">
        <v>2984.8512771099995</v>
      </c>
      <c r="R60" s="2">
        <v>2307.8060377599977</v>
      </c>
      <c r="S60" s="2">
        <v>1408.95431224</v>
      </c>
      <c r="T60" s="2">
        <v>659.95079680999993</v>
      </c>
      <c r="U60" s="2">
        <v>590.26461020000102</v>
      </c>
      <c r="V60" s="2">
        <v>1004.7367902000017</v>
      </c>
      <c r="W60" s="29">
        <f t="shared" si="56"/>
        <v>0.78050778050778069</v>
      </c>
      <c r="X60" s="29">
        <f t="shared" si="56"/>
        <v>-0.67387304507819668</v>
      </c>
      <c r="Y60" s="29">
        <f t="shared" si="56"/>
        <v>144.48801128349771</v>
      </c>
      <c r="Z60" s="29">
        <f t="shared" si="56"/>
        <v>-0.93040441134259488</v>
      </c>
      <c r="AA60" s="29">
        <f t="shared" si="56"/>
        <v>-0.31159888771378652</v>
      </c>
      <c r="AB60" s="29">
        <f t="shared" si="56"/>
        <v>0.28116630589182212</v>
      </c>
      <c r="AC60" s="29">
        <f t="shared" si="56"/>
        <v>0.81957793971555892</v>
      </c>
      <c r="AD60" s="29">
        <f t="shared" si="56"/>
        <v>1.1237616690113414</v>
      </c>
      <c r="AE60" s="29">
        <f t="shared" si="56"/>
        <v>-0.32491161749999653</v>
      </c>
      <c r="AF60" s="29">
        <f t="shared" si="56"/>
        <v>1.142287121834527</v>
      </c>
      <c r="AG60" s="29">
        <f t="shared" si="57"/>
        <v>-0.88510775892923765</v>
      </c>
      <c r="AH60" s="29">
        <f t="shared" si="57"/>
        <v>3.1318775158687009</v>
      </c>
      <c r="AI60" s="29">
        <f t="shared" si="57"/>
        <v>-0.10412663580861903</v>
      </c>
      <c r="AJ60" s="29">
        <f t="shared" si="57"/>
        <v>0.98344861313515963</v>
      </c>
      <c r="AK60" s="29">
        <f t="shared" si="57"/>
        <v>-0.22682712687967899</v>
      </c>
      <c r="AL60" s="29">
        <f t="shared" si="57"/>
        <v>-0.38948321947906894</v>
      </c>
      <c r="AM60" s="29">
        <f t="shared" si="57"/>
        <v>-0.53160241529706576</v>
      </c>
      <c r="AN60" s="29">
        <f t="shared" si="57"/>
        <v>-0.1055930032160588</v>
      </c>
      <c r="AO60" s="29">
        <f t="shared" si="57"/>
        <v>0.70218029818789907</v>
      </c>
    </row>
    <row r="61" spans="1:41" x14ac:dyDescent="0.2">
      <c r="B61" s="1" t="s">
        <v>7</v>
      </c>
      <c r="C61" s="2">
        <f>11164.5-1000</f>
        <v>10164.5</v>
      </c>
      <c r="D61" s="2">
        <f>17245.5-875</f>
        <v>16370.5</v>
      </c>
      <c r="E61" s="36">
        <v>7841.6999999999798</v>
      </c>
      <c r="F61" s="2">
        <v>22376.999999999975</v>
      </c>
      <c r="G61" s="2">
        <f>53062.70251617-1125</f>
        <v>51937.70251617</v>
      </c>
      <c r="H61" s="2">
        <v>16158.117794089992</v>
      </c>
      <c r="I61" s="2">
        <v>44903.261921779966</v>
      </c>
      <c r="J61" s="2">
        <v>18614.359784899989</v>
      </c>
      <c r="K61" s="2">
        <v>25978.675718919978</v>
      </c>
      <c r="L61" s="2">
        <v>14675.529585889972</v>
      </c>
      <c r="M61" s="2">
        <v>22817.018512429953</v>
      </c>
      <c r="N61" s="2">
        <v>43325.972368180017</v>
      </c>
      <c r="O61" s="2">
        <v>38901.99742218</v>
      </c>
      <c r="P61" s="2">
        <v>35547.763807310039</v>
      </c>
      <c r="Q61" s="2">
        <v>49465.0277661</v>
      </c>
      <c r="R61" s="2">
        <v>28683.80030015987</v>
      </c>
      <c r="S61" s="2">
        <v>32381.776478270112</v>
      </c>
      <c r="T61" s="2">
        <v>31318.085256969935</v>
      </c>
      <c r="U61" s="2">
        <v>38763.566844119974</v>
      </c>
      <c r="V61" s="2">
        <v>36408.548174619958</v>
      </c>
      <c r="W61" s="29">
        <f t="shared" si="56"/>
        <v>0.6105563480741798</v>
      </c>
      <c r="X61" s="29">
        <f t="shared" si="56"/>
        <v>-0.52098591979475395</v>
      </c>
      <c r="Y61" s="29">
        <f t="shared" si="56"/>
        <v>1.8535904204445504</v>
      </c>
      <c r="Z61" s="29">
        <f t="shared" si="56"/>
        <v>1.3210306348558816</v>
      </c>
      <c r="AA61" s="29">
        <f t="shared" si="56"/>
        <v>-0.68889425193462472</v>
      </c>
      <c r="AB61" s="29">
        <f t="shared" si="56"/>
        <v>1.7789908759177275</v>
      </c>
      <c r="AC61" s="29">
        <f t="shared" si="56"/>
        <v>-0.5854564014230057</v>
      </c>
      <c r="AD61" s="29">
        <f t="shared" si="56"/>
        <v>0.39562552884542068</v>
      </c>
      <c r="AE61" s="29">
        <f t="shared" si="56"/>
        <v>-0.43509323782805653</v>
      </c>
      <c r="AF61" s="29">
        <f t="shared" si="56"/>
        <v>0.55476627803386047</v>
      </c>
      <c r="AG61" s="29">
        <f t="shared" si="57"/>
        <v>0.8988445990249545</v>
      </c>
      <c r="AH61" s="29">
        <f t="shared" si="57"/>
        <v>-0.102109074630928</v>
      </c>
      <c r="AI61" s="29">
        <f t="shared" si="57"/>
        <v>-8.6222657887421006E-2</v>
      </c>
      <c r="AJ61" s="29">
        <f t="shared" si="57"/>
        <v>0.3915088452322848</v>
      </c>
      <c r="AK61" s="29">
        <f t="shared" si="57"/>
        <v>-0.42011959569104262</v>
      </c>
      <c r="AL61" s="29">
        <f t="shared" si="57"/>
        <v>0.12892211420428934</v>
      </c>
      <c r="AM61" s="29">
        <f t="shared" si="57"/>
        <v>-3.2848451721417149E-2</v>
      </c>
      <c r="AN61" s="29">
        <f t="shared" si="57"/>
        <v>0.23773744550660303</v>
      </c>
      <c r="AO61" s="29">
        <f t="shared" si="57"/>
        <v>-6.0753404839401393E-2</v>
      </c>
    </row>
    <row r="62" spans="1:41" x14ac:dyDescent="0.2">
      <c r="B62" s="1" t="s">
        <v>8</v>
      </c>
      <c r="C62" s="2">
        <v>2.5</v>
      </c>
      <c r="D62" s="2">
        <v>14.1</v>
      </c>
      <c r="E62" s="36">
        <v>7.1</v>
      </c>
      <c r="F62" s="2">
        <v>8.4000000000000057</v>
      </c>
      <c r="G62" s="2"/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835.14883196000005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44">
        <f t="shared" si="56"/>
        <v>4.6399999999999997</v>
      </c>
      <c r="X62" s="44">
        <f t="shared" si="56"/>
        <v>-0.49645390070921991</v>
      </c>
      <c r="Y62" s="44">
        <f t="shared" si="56"/>
        <v>0.18309859154929664</v>
      </c>
      <c r="Z62" s="44">
        <f t="shared" si="56"/>
        <v>-1</v>
      </c>
      <c r="AA62" s="44" t="e">
        <f t="shared" si="56"/>
        <v>#DIV/0!</v>
      </c>
      <c r="AB62" s="44" t="e">
        <f t="shared" si="56"/>
        <v>#DIV/0!</v>
      </c>
      <c r="AC62" s="44" t="e">
        <f t="shared" si="56"/>
        <v>#DIV/0!</v>
      </c>
      <c r="AD62" s="44" t="e">
        <f t="shared" si="56"/>
        <v>#DIV/0!</v>
      </c>
      <c r="AE62" s="44" t="e">
        <f t="shared" si="56"/>
        <v>#DIV/0!</v>
      </c>
      <c r="AF62" s="44" t="e">
        <f t="shared" si="56"/>
        <v>#DIV/0!</v>
      </c>
      <c r="AG62" s="44" t="e">
        <f t="shared" si="57"/>
        <v>#DIV/0!</v>
      </c>
      <c r="AH62" s="44">
        <f t="shared" si="57"/>
        <v>-1</v>
      </c>
      <c r="AI62" s="44" t="e">
        <f t="shared" si="57"/>
        <v>#DIV/0!</v>
      </c>
      <c r="AJ62" s="44" t="e">
        <f t="shared" si="57"/>
        <v>#DIV/0!</v>
      </c>
      <c r="AK62" s="44" t="e">
        <f t="shared" si="57"/>
        <v>#DIV/0!</v>
      </c>
      <c r="AL62" s="44" t="e">
        <f t="shared" si="57"/>
        <v>#DIV/0!</v>
      </c>
      <c r="AM62" s="44" t="e">
        <f t="shared" si="57"/>
        <v>#DIV/0!</v>
      </c>
      <c r="AN62" s="44" t="e">
        <f t="shared" si="57"/>
        <v>#DIV/0!</v>
      </c>
      <c r="AO62" s="44" t="e">
        <f t="shared" si="57"/>
        <v>#DIV/0!</v>
      </c>
    </row>
    <row r="63" spans="1:41" x14ac:dyDescent="0.2">
      <c r="B63" s="18" t="s">
        <v>15</v>
      </c>
      <c r="C63" s="2">
        <v>6330.4</v>
      </c>
      <c r="D63" s="2">
        <v>91</v>
      </c>
      <c r="E63" s="36">
        <v>183.5</v>
      </c>
      <c r="F63" s="2">
        <v>2018.5000000000018</v>
      </c>
      <c r="G63" s="2">
        <v>2060.7802191399987</v>
      </c>
      <c r="H63" s="2">
        <v>979.62786964000043</v>
      </c>
      <c r="I63" s="2">
        <v>1.6999999999998181</v>
      </c>
      <c r="J63" s="2">
        <v>3182.4667063299985</v>
      </c>
      <c r="K63" s="2">
        <v>11156.669908190001</v>
      </c>
      <c r="L63" s="2">
        <v>1717.4419900000066</v>
      </c>
      <c r="M63" s="2">
        <v>27579.333516389997</v>
      </c>
      <c r="N63" s="2">
        <v>7150.4956426599956</v>
      </c>
      <c r="O63" s="2">
        <v>3457.0540400299974</v>
      </c>
      <c r="P63" s="2">
        <v>8952.034913659998</v>
      </c>
      <c r="Q63" s="2">
        <v>2849.0885942300051</v>
      </c>
      <c r="R63" s="2">
        <v>210.03878318000832</v>
      </c>
      <c r="S63" s="2">
        <v>21.861528840004432</v>
      </c>
      <c r="T63" s="2">
        <v>7.0731593500014469</v>
      </c>
      <c r="U63" s="2">
        <v>5138.0016656899943</v>
      </c>
      <c r="V63" s="2">
        <v>100.67839320000894</v>
      </c>
      <c r="W63" s="29">
        <f t="shared" si="56"/>
        <v>-0.98562492101604948</v>
      </c>
      <c r="X63" s="29">
        <f t="shared" si="56"/>
        <v>1.0164835164835164</v>
      </c>
      <c r="Y63" s="29">
        <f t="shared" si="56"/>
        <v>10.000000000000011</v>
      </c>
      <c r="Z63" s="29">
        <f t="shared" si="56"/>
        <v>2.0946355779042358E-2</v>
      </c>
      <c r="AA63" s="29">
        <f t="shared" si="56"/>
        <v>-0.52463253454130254</v>
      </c>
      <c r="AB63" s="29">
        <f t="shared" si="56"/>
        <v>-0.99826464716584218</v>
      </c>
      <c r="AC63" s="29">
        <f t="shared" si="56"/>
        <v>1871.0392390178465</v>
      </c>
      <c r="AD63" s="29">
        <f t="shared" si="56"/>
        <v>2.5056674390337315</v>
      </c>
      <c r="AE63" s="29">
        <f t="shared" si="56"/>
        <v>-0.8460614140121463</v>
      </c>
      <c r="AF63" s="29">
        <f t="shared" si="56"/>
        <v>15.058378493697997</v>
      </c>
      <c r="AG63" s="29">
        <f t="shared" si="57"/>
        <v>-0.74072993321573344</v>
      </c>
      <c r="AH63" s="29">
        <f t="shared" si="57"/>
        <v>-0.51652945295076524</v>
      </c>
      <c r="AI63" s="29">
        <f t="shared" si="57"/>
        <v>1.589498113134014</v>
      </c>
      <c r="AJ63" s="29">
        <f t="shared" si="57"/>
        <v>-0.68173844028662656</v>
      </c>
      <c r="AK63" s="29">
        <f t="shared" si="57"/>
        <v>-0.926278605865265</v>
      </c>
      <c r="AL63" s="29">
        <f t="shared" si="57"/>
        <v>-0.8959167040057141</v>
      </c>
      <c r="AM63" s="29">
        <f t="shared" si="57"/>
        <v>-0.67645632646431086</v>
      </c>
      <c r="AN63" s="29">
        <f t="shared" si="57"/>
        <v>725.4083009368286</v>
      </c>
      <c r="AO63" s="29">
        <f t="shared" si="57"/>
        <v>-0.98040514586199756</v>
      </c>
    </row>
    <row r="64" spans="1:41" x14ac:dyDescent="0.2">
      <c r="C64" s="6"/>
      <c r="D64" s="6"/>
      <c r="AG64" s="6"/>
      <c r="AH64" s="6"/>
      <c r="AI64" s="6"/>
      <c r="AJ64" s="6"/>
      <c r="AK64" s="6"/>
      <c r="AL64" s="6"/>
      <c r="AM64" s="6"/>
      <c r="AN64" s="6"/>
      <c r="AO64" s="6"/>
    </row>
    <row r="65" spans="1:41" x14ac:dyDescent="0.2">
      <c r="B65" s="49" t="s">
        <v>51</v>
      </c>
      <c r="C65" s="2">
        <v>0</v>
      </c>
      <c r="D65" s="2">
        <v>0</v>
      </c>
      <c r="E65" s="2">
        <v>0</v>
      </c>
      <c r="F65" s="2">
        <v>0</v>
      </c>
      <c r="G65" s="2">
        <v>0</v>
      </c>
      <c r="H65" s="2">
        <f t="shared" ref="H65:V65" si="60">+H66-H67</f>
        <v>0</v>
      </c>
      <c r="I65" s="2">
        <f t="shared" si="60"/>
        <v>0</v>
      </c>
      <c r="J65" s="2">
        <f t="shared" si="60"/>
        <v>0</v>
      </c>
      <c r="K65" s="2">
        <f t="shared" si="60"/>
        <v>0</v>
      </c>
      <c r="L65" s="2">
        <f t="shared" si="60"/>
        <v>0</v>
      </c>
      <c r="M65" s="2">
        <f t="shared" si="60"/>
        <v>0</v>
      </c>
      <c r="N65" s="2">
        <f t="shared" si="60"/>
        <v>0</v>
      </c>
      <c r="O65" s="2">
        <f t="shared" si="60"/>
        <v>0</v>
      </c>
      <c r="P65" s="5">
        <f t="shared" si="60"/>
        <v>0</v>
      </c>
      <c r="Q65" s="5">
        <f t="shared" si="60"/>
        <v>0</v>
      </c>
      <c r="R65" s="5">
        <f t="shared" si="60"/>
        <v>455.43805125000017</v>
      </c>
      <c r="S65" s="5">
        <f t="shared" si="60"/>
        <v>0</v>
      </c>
      <c r="T65" s="5">
        <f t="shared" si="60"/>
        <v>0</v>
      </c>
      <c r="U65" s="5">
        <f t="shared" si="60"/>
        <v>617.23200000000315</v>
      </c>
      <c r="V65" s="5">
        <f t="shared" si="60"/>
        <v>0</v>
      </c>
      <c r="W65" s="105" t="e">
        <f t="shared" ref="W65:AF69" si="61">+D65/C65-1</f>
        <v>#DIV/0!</v>
      </c>
      <c r="X65" s="105" t="e">
        <f t="shared" si="61"/>
        <v>#DIV/0!</v>
      </c>
      <c r="Y65" s="105" t="e">
        <f t="shared" si="61"/>
        <v>#DIV/0!</v>
      </c>
      <c r="Z65" s="105" t="e">
        <f t="shared" si="61"/>
        <v>#DIV/0!</v>
      </c>
      <c r="AA65" s="105" t="e">
        <f t="shared" si="61"/>
        <v>#DIV/0!</v>
      </c>
      <c r="AB65" s="105" t="e">
        <f t="shared" si="61"/>
        <v>#DIV/0!</v>
      </c>
      <c r="AC65" s="105" t="e">
        <f t="shared" si="61"/>
        <v>#DIV/0!</v>
      </c>
      <c r="AD65" s="105" t="e">
        <f t="shared" si="61"/>
        <v>#DIV/0!</v>
      </c>
      <c r="AE65" s="105" t="e">
        <f t="shared" si="61"/>
        <v>#DIV/0!</v>
      </c>
      <c r="AF65" s="105" t="e">
        <f t="shared" si="61"/>
        <v>#DIV/0!</v>
      </c>
      <c r="AG65" s="105" t="e">
        <f t="shared" ref="AG65:AO69" si="62">+N65/M65-1</f>
        <v>#DIV/0!</v>
      </c>
      <c r="AH65" s="105" t="e">
        <f t="shared" si="62"/>
        <v>#DIV/0!</v>
      </c>
      <c r="AI65" s="105" t="e">
        <f t="shared" si="62"/>
        <v>#DIV/0!</v>
      </c>
      <c r="AJ65" s="105" t="e">
        <f t="shared" si="62"/>
        <v>#DIV/0!</v>
      </c>
      <c r="AK65" s="105" t="e">
        <f t="shared" si="62"/>
        <v>#DIV/0!</v>
      </c>
      <c r="AL65" s="105">
        <f t="shared" si="62"/>
        <v>-1</v>
      </c>
      <c r="AM65" s="105" t="e">
        <f t="shared" si="62"/>
        <v>#DIV/0!</v>
      </c>
      <c r="AN65" s="105" t="e">
        <f t="shared" si="62"/>
        <v>#DIV/0!</v>
      </c>
      <c r="AO65" s="105">
        <f t="shared" si="62"/>
        <v>-1</v>
      </c>
    </row>
    <row r="66" spans="1:41" x14ac:dyDescent="0.2">
      <c r="B66" s="50" t="s">
        <v>52</v>
      </c>
      <c r="C66" s="2">
        <v>0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455.43805125000017</v>
      </c>
      <c r="S66" s="2">
        <v>0</v>
      </c>
      <c r="T66" s="2">
        <v>0</v>
      </c>
      <c r="U66" s="2">
        <v>617.23200000000315</v>
      </c>
      <c r="V66" s="2">
        <v>0</v>
      </c>
      <c r="W66" s="105" t="e">
        <f t="shared" si="61"/>
        <v>#DIV/0!</v>
      </c>
      <c r="X66" s="105" t="e">
        <f t="shared" si="61"/>
        <v>#DIV/0!</v>
      </c>
      <c r="Y66" s="105" t="e">
        <f t="shared" si="61"/>
        <v>#DIV/0!</v>
      </c>
      <c r="Z66" s="105" t="e">
        <f t="shared" si="61"/>
        <v>#DIV/0!</v>
      </c>
      <c r="AA66" s="105" t="e">
        <f t="shared" si="61"/>
        <v>#DIV/0!</v>
      </c>
      <c r="AB66" s="105" t="e">
        <f t="shared" si="61"/>
        <v>#DIV/0!</v>
      </c>
      <c r="AC66" s="105" t="e">
        <f t="shared" si="61"/>
        <v>#DIV/0!</v>
      </c>
      <c r="AD66" s="105" t="e">
        <f t="shared" si="61"/>
        <v>#DIV/0!</v>
      </c>
      <c r="AE66" s="105" t="e">
        <f t="shared" si="61"/>
        <v>#DIV/0!</v>
      </c>
      <c r="AF66" s="105" t="e">
        <f t="shared" si="61"/>
        <v>#DIV/0!</v>
      </c>
      <c r="AG66" s="105" t="e">
        <f t="shared" si="62"/>
        <v>#DIV/0!</v>
      </c>
      <c r="AH66" s="105" t="e">
        <f t="shared" si="62"/>
        <v>#DIV/0!</v>
      </c>
      <c r="AI66" s="105" t="e">
        <f t="shared" si="62"/>
        <v>#DIV/0!</v>
      </c>
      <c r="AJ66" s="105" t="e">
        <f t="shared" si="62"/>
        <v>#DIV/0!</v>
      </c>
      <c r="AK66" s="105" t="e">
        <f t="shared" si="62"/>
        <v>#DIV/0!</v>
      </c>
      <c r="AL66" s="105">
        <f t="shared" si="62"/>
        <v>-1</v>
      </c>
      <c r="AM66" s="105" t="e">
        <f t="shared" si="62"/>
        <v>#DIV/0!</v>
      </c>
      <c r="AN66" s="105" t="e">
        <f t="shared" si="62"/>
        <v>#DIV/0!</v>
      </c>
      <c r="AO66" s="105">
        <f t="shared" si="62"/>
        <v>-1</v>
      </c>
    </row>
    <row r="67" spans="1:41" x14ac:dyDescent="0.2">
      <c r="B67" s="1" t="s">
        <v>53</v>
      </c>
      <c r="C67" s="2">
        <v>0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105" t="e">
        <f t="shared" si="61"/>
        <v>#DIV/0!</v>
      </c>
      <c r="X67" s="105" t="e">
        <f t="shared" si="61"/>
        <v>#DIV/0!</v>
      </c>
      <c r="Y67" s="105" t="e">
        <f t="shared" si="61"/>
        <v>#DIV/0!</v>
      </c>
      <c r="Z67" s="105" t="e">
        <f t="shared" si="61"/>
        <v>#DIV/0!</v>
      </c>
      <c r="AA67" s="105" t="e">
        <f t="shared" si="61"/>
        <v>#DIV/0!</v>
      </c>
      <c r="AB67" s="105" t="e">
        <f t="shared" si="61"/>
        <v>#DIV/0!</v>
      </c>
      <c r="AC67" s="105" t="e">
        <f t="shared" si="61"/>
        <v>#DIV/0!</v>
      </c>
      <c r="AD67" s="105" t="e">
        <f t="shared" si="61"/>
        <v>#DIV/0!</v>
      </c>
      <c r="AE67" s="105" t="e">
        <f t="shared" si="61"/>
        <v>#DIV/0!</v>
      </c>
      <c r="AF67" s="105" t="e">
        <f t="shared" si="61"/>
        <v>#DIV/0!</v>
      </c>
      <c r="AG67" s="105" t="e">
        <f t="shared" si="62"/>
        <v>#DIV/0!</v>
      </c>
      <c r="AH67" s="105" t="e">
        <f t="shared" si="62"/>
        <v>#DIV/0!</v>
      </c>
      <c r="AI67" s="105" t="e">
        <f t="shared" si="62"/>
        <v>#DIV/0!</v>
      </c>
      <c r="AJ67" s="105" t="e">
        <f t="shared" si="62"/>
        <v>#DIV/0!</v>
      </c>
      <c r="AK67" s="105" t="e">
        <f t="shared" si="62"/>
        <v>#DIV/0!</v>
      </c>
      <c r="AL67" s="105" t="e">
        <f t="shared" si="62"/>
        <v>#DIV/0!</v>
      </c>
      <c r="AM67" s="105" t="e">
        <f t="shared" si="62"/>
        <v>#DIV/0!</v>
      </c>
      <c r="AN67" s="105" t="e">
        <f t="shared" si="62"/>
        <v>#DIV/0!</v>
      </c>
      <c r="AO67" s="105" t="e">
        <f t="shared" si="62"/>
        <v>#DIV/0!</v>
      </c>
    </row>
    <row r="68" spans="1:41" x14ac:dyDescent="0.2">
      <c r="C68" s="6"/>
      <c r="D68" s="6"/>
      <c r="W68" s="105" t="e">
        <f t="shared" si="61"/>
        <v>#DIV/0!</v>
      </c>
      <c r="X68" s="105" t="e">
        <f t="shared" si="61"/>
        <v>#DIV/0!</v>
      </c>
      <c r="Y68" s="105" t="e">
        <f t="shared" si="61"/>
        <v>#DIV/0!</v>
      </c>
      <c r="Z68" s="105" t="e">
        <f t="shared" si="61"/>
        <v>#DIV/0!</v>
      </c>
      <c r="AA68" s="105" t="e">
        <f t="shared" si="61"/>
        <v>#DIV/0!</v>
      </c>
      <c r="AB68" s="105" t="e">
        <f t="shared" si="61"/>
        <v>#DIV/0!</v>
      </c>
      <c r="AC68" s="105" t="e">
        <f t="shared" si="61"/>
        <v>#DIV/0!</v>
      </c>
      <c r="AD68" s="105" t="e">
        <f t="shared" si="61"/>
        <v>#DIV/0!</v>
      </c>
      <c r="AE68" s="105" t="e">
        <f t="shared" si="61"/>
        <v>#DIV/0!</v>
      </c>
      <c r="AF68" s="105" t="e">
        <f t="shared" si="61"/>
        <v>#DIV/0!</v>
      </c>
      <c r="AG68" s="105" t="e">
        <f t="shared" si="62"/>
        <v>#DIV/0!</v>
      </c>
      <c r="AH68" s="105" t="e">
        <f t="shared" si="62"/>
        <v>#DIV/0!</v>
      </c>
      <c r="AI68" s="105" t="e">
        <f t="shared" si="62"/>
        <v>#DIV/0!</v>
      </c>
      <c r="AJ68" s="105" t="e">
        <f t="shared" si="62"/>
        <v>#DIV/0!</v>
      </c>
      <c r="AK68" s="105" t="e">
        <f t="shared" si="62"/>
        <v>#DIV/0!</v>
      </c>
      <c r="AL68" s="105" t="e">
        <f t="shared" si="62"/>
        <v>#DIV/0!</v>
      </c>
      <c r="AM68" s="105" t="e">
        <f t="shared" si="62"/>
        <v>#DIV/0!</v>
      </c>
      <c r="AN68" s="105" t="e">
        <f t="shared" si="62"/>
        <v>#DIV/0!</v>
      </c>
      <c r="AO68" s="105" t="e">
        <f t="shared" si="62"/>
        <v>#DIV/0!</v>
      </c>
    </row>
    <row r="69" spans="1:41" x14ac:dyDescent="0.2">
      <c r="A69" s="4" t="s">
        <v>18</v>
      </c>
      <c r="B69" s="3" t="s">
        <v>22</v>
      </c>
      <c r="C69" s="21">
        <f t="shared" ref="C69:O69" si="63">+C9-C38</f>
        <v>28836.484438300002</v>
      </c>
      <c r="D69" s="21">
        <f t="shared" si="63"/>
        <v>23501.26451266979</v>
      </c>
      <c r="E69" s="21">
        <f t="shared" si="63"/>
        <v>-21031.54454418004</v>
      </c>
      <c r="F69" s="21">
        <f t="shared" si="63"/>
        <v>-75214.030353699985</v>
      </c>
      <c r="G69" s="21">
        <f t="shared" si="63"/>
        <v>-98175.814235270431</v>
      </c>
      <c r="H69" s="21">
        <f t="shared" si="63"/>
        <v>-28278.569264860154</v>
      </c>
      <c r="I69" s="21">
        <f t="shared" si="63"/>
        <v>-89142.318104239734</v>
      </c>
      <c r="J69" s="21">
        <f t="shared" si="63"/>
        <v>-85725.431507459667</v>
      </c>
      <c r="K69" s="21">
        <f t="shared" si="63"/>
        <v>-127748.60647007998</v>
      </c>
      <c r="L69" s="21">
        <f t="shared" si="63"/>
        <v>-58452.868145189539</v>
      </c>
      <c r="M69" s="21">
        <f t="shared" si="63"/>
        <v>-88989.237686850189</v>
      </c>
      <c r="N69" s="21">
        <f t="shared" si="63"/>
        <v>-64601.50601019949</v>
      </c>
      <c r="O69" s="21">
        <f t="shared" si="63"/>
        <v>-74242.017212520936</v>
      </c>
      <c r="P69" s="21">
        <f t="shared" ref="P69:U69" si="64">+P9-P38</f>
        <v>-88510.372805349471</v>
      </c>
      <c r="Q69" s="21">
        <f t="shared" si="64"/>
        <v>-120364.79440705036</v>
      </c>
      <c r="R69" s="21">
        <f t="shared" si="64"/>
        <v>-53727.34741580073</v>
      </c>
      <c r="S69" s="21">
        <f t="shared" si="64"/>
        <v>-5105.223906351137</v>
      </c>
      <c r="T69" s="21">
        <f t="shared" si="64"/>
        <v>47044.987265260599</v>
      </c>
      <c r="U69" s="21">
        <f t="shared" si="64"/>
        <v>-45085.652538799332</v>
      </c>
      <c r="V69" s="21">
        <f t="shared" ref="V69" si="65">+V9-V38</f>
        <v>-71034.45086849865</v>
      </c>
      <c r="W69" s="40">
        <f t="shared" si="61"/>
        <v>-0.18501630935788027</v>
      </c>
      <c r="X69" s="40">
        <f t="shared" si="61"/>
        <v>-1.8949111879848721</v>
      </c>
      <c r="Y69" s="40">
        <f t="shared" si="61"/>
        <v>2.5762485344669375</v>
      </c>
      <c r="Z69" s="40">
        <f t="shared" si="61"/>
        <v>0.30528591239680702</v>
      </c>
      <c r="AA69" s="40">
        <f t="shared" si="61"/>
        <v>-0.71195992123790441</v>
      </c>
      <c r="AB69" s="40">
        <f t="shared" si="61"/>
        <v>2.1522923691549982</v>
      </c>
      <c r="AC69" s="40">
        <f t="shared" si="61"/>
        <v>-3.8330690399866918E-2</v>
      </c>
      <c r="AD69" s="40">
        <f t="shared" si="61"/>
        <v>0.49020663091049621</v>
      </c>
      <c r="AE69" s="40">
        <f t="shared" si="61"/>
        <v>-0.54243831098948392</v>
      </c>
      <c r="AF69" s="40">
        <f t="shared" si="61"/>
        <v>0.52241011451845565</v>
      </c>
      <c r="AG69" s="40">
        <f t="shared" si="62"/>
        <v>-0.27405259681479932</v>
      </c>
      <c r="AH69" s="40">
        <f t="shared" si="62"/>
        <v>0.14923044055349677</v>
      </c>
      <c r="AI69" s="40">
        <f t="shared" si="62"/>
        <v>0.19218706776224526</v>
      </c>
      <c r="AJ69" s="40">
        <f t="shared" si="62"/>
        <v>0.35989478512032247</v>
      </c>
      <c r="AK69" s="40">
        <f t="shared" si="62"/>
        <v>-0.55362905174659893</v>
      </c>
      <c r="AL69" s="40">
        <f t="shared" si="62"/>
        <v>-0.90497904415713371</v>
      </c>
      <c r="AM69" s="40">
        <f t="shared" si="62"/>
        <v>-10.215068355128251</v>
      </c>
      <c r="AN69" s="40">
        <f t="shared" si="62"/>
        <v>-1.9583518916603451</v>
      </c>
      <c r="AO69" s="40">
        <f t="shared" si="62"/>
        <v>0.57554447742258086</v>
      </c>
    </row>
    <row r="70" spans="1:41" ht="18" x14ac:dyDescent="0.2">
      <c r="A70" s="2"/>
      <c r="B70" s="46" t="s">
        <v>50</v>
      </c>
      <c r="C70" s="47">
        <f t="shared" ref="C70:O70" si="66">+C69/C76</f>
        <v>2.4830526015213565E-3</v>
      </c>
      <c r="D70" s="47">
        <f t="shared" si="66"/>
        <v>1.6920710635834491E-3</v>
      </c>
      <c r="E70" s="47">
        <f t="shared" si="66"/>
        <v>-1.2975246697238686E-3</v>
      </c>
      <c r="F70" s="47">
        <f t="shared" si="66"/>
        <v>-4.2671848457107838E-3</v>
      </c>
      <c r="G70" s="47">
        <f t="shared" si="66"/>
        <v>-4.957871007061799E-3</v>
      </c>
      <c r="H70" s="47">
        <f t="shared" si="66"/>
        <v>-1.3077687281776512E-3</v>
      </c>
      <c r="I70" s="47">
        <f t="shared" si="66"/>
        <v>-3.7529074742677494E-3</v>
      </c>
      <c r="J70" s="47">
        <f t="shared" si="66"/>
        <v>-3.3666725976670303E-3</v>
      </c>
      <c r="K70" s="47">
        <f t="shared" si="66"/>
        <v>-4.5622339160118954E-3</v>
      </c>
      <c r="L70" s="47">
        <f t="shared" si="66"/>
        <v>-1.9226713459567077E-3</v>
      </c>
      <c r="M70" s="47">
        <f t="shared" si="66"/>
        <v>-2.7760306224989015E-3</v>
      </c>
      <c r="N70" s="47">
        <f t="shared" si="66"/>
        <v>-1.8810321766259536E-3</v>
      </c>
      <c r="O70" s="47">
        <f t="shared" si="66"/>
        <v>-2.0614354323006535E-3</v>
      </c>
      <c r="P70" s="47">
        <f t="shared" ref="P70:U70" si="67">+P69/P76</f>
        <v>-2.3395544073826192E-3</v>
      </c>
      <c r="Q70" s="47">
        <f t="shared" si="67"/>
        <v>-3.2980951567566042E-3</v>
      </c>
      <c r="R70" s="47">
        <f t="shared" si="67"/>
        <v>-1.3323045560278508E-3</v>
      </c>
      <c r="S70" s="47">
        <f t="shared" si="67"/>
        <v>-1.1393038205939401E-4</v>
      </c>
      <c r="T70" s="47">
        <f t="shared" si="67"/>
        <v>9.9969644803092812E-4</v>
      </c>
      <c r="U70" s="47">
        <f t="shared" si="67"/>
        <v>-9.1794349052262518E-4</v>
      </c>
      <c r="V70" s="47">
        <f t="shared" ref="V70" si="68">+V69/V76</f>
        <v>-1.3907520830048032E-3</v>
      </c>
      <c r="AG70" s="6"/>
      <c r="AH70" s="6"/>
      <c r="AI70" s="6"/>
      <c r="AJ70" s="6"/>
      <c r="AK70" s="6"/>
      <c r="AL70" s="6"/>
      <c r="AM70" s="6"/>
      <c r="AN70" s="6"/>
      <c r="AO70" s="6"/>
    </row>
    <row r="71" spans="1:41" x14ac:dyDescent="0.2">
      <c r="A71" s="4" t="s">
        <v>19</v>
      </c>
      <c r="B71" s="3" t="s">
        <v>21</v>
      </c>
      <c r="C71" s="21">
        <f t="shared" ref="C71:O71" si="69">+C9-C36</f>
        <v>5030.6844382999116</v>
      </c>
      <c r="D71" s="21">
        <f t="shared" si="69"/>
        <v>6766.0645126697782</v>
      </c>
      <c r="E71" s="21">
        <f t="shared" si="69"/>
        <v>-38026.044544180011</v>
      </c>
      <c r="F71" s="21">
        <f t="shared" si="69"/>
        <v>-86932.630353700079</v>
      </c>
      <c r="G71" s="21">
        <f t="shared" si="69"/>
        <v>-116004.73606064043</v>
      </c>
      <c r="H71" s="21">
        <f t="shared" si="69"/>
        <v>-45972.92218246017</v>
      </c>
      <c r="I71" s="21">
        <f t="shared" si="69"/>
        <v>-111815.04375399966</v>
      </c>
      <c r="J71" s="21">
        <f t="shared" si="69"/>
        <v>-115486.04776341963</v>
      </c>
      <c r="K71" s="21">
        <f t="shared" si="69"/>
        <v>-152383.30789833004</v>
      </c>
      <c r="L71" s="21">
        <f t="shared" si="69"/>
        <v>-98492.555530669575</v>
      </c>
      <c r="M71" s="21">
        <f t="shared" si="69"/>
        <v>-129075.86216047005</v>
      </c>
      <c r="N71" s="21">
        <f t="shared" si="69"/>
        <v>-124909.32646009931</v>
      </c>
      <c r="O71" s="21">
        <f t="shared" si="69"/>
        <v>-165782.34030316083</v>
      </c>
      <c r="P71" s="21">
        <f t="shared" ref="P71:U71" si="70">+P9-P36</f>
        <v>-166519.51806807966</v>
      </c>
      <c r="Q71" s="21">
        <f t="shared" si="70"/>
        <v>-188784.46049680002</v>
      </c>
      <c r="R71" s="21">
        <f t="shared" si="70"/>
        <v>-128248.12577070092</v>
      </c>
      <c r="S71" s="21">
        <f t="shared" si="70"/>
        <v>-73537.739907310926</v>
      </c>
      <c r="T71" s="21">
        <f t="shared" si="70"/>
        <v>-43593.771962359431</v>
      </c>
      <c r="U71" s="21">
        <f t="shared" si="70"/>
        <v>-166376.95370186924</v>
      </c>
      <c r="V71" s="21">
        <f t="shared" ref="V71" si="71">+V9-V36</f>
        <v>-230398.97986869898</v>
      </c>
      <c r="W71" s="40">
        <f t="shared" ref="W71:AO71" si="72">+D71/C71-1</f>
        <v>0.34495903999820898</v>
      </c>
      <c r="X71" s="40">
        <f t="shared" si="72"/>
        <v>-6.620112618343267</v>
      </c>
      <c r="Y71" s="40">
        <f t="shared" si="72"/>
        <v>1.2861339220464716</v>
      </c>
      <c r="Z71" s="40">
        <f t="shared" si="72"/>
        <v>0.33442109813835819</v>
      </c>
      <c r="AA71" s="40">
        <f t="shared" si="72"/>
        <v>-0.60369788558953108</v>
      </c>
      <c r="AB71" s="40">
        <f t="shared" si="72"/>
        <v>1.4321935270988697</v>
      </c>
      <c r="AC71" s="40">
        <f t="shared" si="72"/>
        <v>3.2831038527306067E-2</v>
      </c>
      <c r="AD71" s="40">
        <f t="shared" si="72"/>
        <v>0.31949539229619095</v>
      </c>
      <c r="AE71" s="40">
        <f t="shared" si="72"/>
        <v>-0.35365259562166951</v>
      </c>
      <c r="AF71" s="40">
        <f t="shared" si="72"/>
        <v>0.31051389077093394</v>
      </c>
      <c r="AG71" s="40">
        <f t="shared" si="72"/>
        <v>-3.2279743327926047E-2</v>
      </c>
      <c r="AH71" s="40">
        <f t="shared" si="72"/>
        <v>0.32722147337907459</v>
      </c>
      <c r="AI71" s="40">
        <f t="shared" si="72"/>
        <v>4.4466603835533469E-3</v>
      </c>
      <c r="AJ71" s="40">
        <f t="shared" si="72"/>
        <v>0.13370770397988774</v>
      </c>
      <c r="AK71" s="40">
        <f t="shared" si="72"/>
        <v>-0.32066375890681542</v>
      </c>
      <c r="AL71" s="40">
        <f t="shared" si="72"/>
        <v>-0.42659793688687897</v>
      </c>
      <c r="AM71" s="40">
        <f t="shared" si="72"/>
        <v>-0.40719184438757206</v>
      </c>
      <c r="AN71" s="40">
        <f t="shared" si="72"/>
        <v>2.8165303485444118</v>
      </c>
      <c r="AO71" s="40">
        <f t="shared" si="72"/>
        <v>0.38480104811601956</v>
      </c>
    </row>
    <row r="72" spans="1:41" ht="18" x14ac:dyDescent="0.2">
      <c r="B72" s="46" t="s">
        <v>50</v>
      </c>
      <c r="C72" s="47">
        <f t="shared" ref="C72:O72" si="73">+C71/C76</f>
        <v>4.3318228020065852E-4</v>
      </c>
      <c r="D72" s="47">
        <f t="shared" si="73"/>
        <v>4.871508922447677E-4</v>
      </c>
      <c r="E72" s="47">
        <f t="shared" si="73"/>
        <v>-2.3459870379204189E-3</v>
      </c>
      <c r="F72" s="47">
        <f t="shared" si="73"/>
        <v>-4.9320266591037403E-3</v>
      </c>
      <c r="G72" s="47">
        <f t="shared" si="73"/>
        <v>-5.8582301769215502E-3</v>
      </c>
      <c r="H72" s="47">
        <f t="shared" si="73"/>
        <v>-2.1260605305048266E-3</v>
      </c>
      <c r="I72" s="47">
        <f t="shared" si="73"/>
        <v>-4.7074332636185112E-3</v>
      </c>
      <c r="J72" s="47">
        <f t="shared" si="73"/>
        <v>-4.5354535472258047E-3</v>
      </c>
      <c r="K72" s="47">
        <f t="shared" si="73"/>
        <v>-5.442002967685362E-3</v>
      </c>
      <c r="L72" s="47">
        <f t="shared" si="73"/>
        <v>-3.2396838738263456E-3</v>
      </c>
      <c r="M72" s="47">
        <f t="shared" si="73"/>
        <v>-4.0265379870296414E-3</v>
      </c>
      <c r="N72" s="47">
        <f t="shared" si="73"/>
        <v>-3.6370431084845984E-3</v>
      </c>
      <c r="O72" s="47">
        <f t="shared" si="73"/>
        <v>-4.6031829842713952E-3</v>
      </c>
      <c r="P72" s="47">
        <f t="shared" ref="P72:U72" si="74">+P71/P76</f>
        <v>-4.4015346457546454E-3</v>
      </c>
      <c r="Q72" s="47">
        <f t="shared" si="74"/>
        <v>-5.1728507318327139E-3</v>
      </c>
      <c r="R72" s="47">
        <f t="shared" si="74"/>
        <v>-3.1802344706131471E-3</v>
      </c>
      <c r="S72" s="47">
        <f t="shared" si="74"/>
        <v>-1.6410999707576839E-3</v>
      </c>
      <c r="T72" s="47">
        <f t="shared" si="74"/>
        <v>-9.2635882206353862E-4</v>
      </c>
      <c r="U72" s="47">
        <f t="shared" si="74"/>
        <v>-3.3874333191071132E-3</v>
      </c>
      <c r="V72" s="47">
        <f t="shared" ref="V72" si="75">+V71/V76</f>
        <v>-4.510879682420036E-3</v>
      </c>
      <c r="AC72" s="32"/>
      <c r="AD72" s="32"/>
    </row>
    <row r="73" spans="1:41" x14ac:dyDescent="0.2">
      <c r="B73" s="33" t="s">
        <v>40</v>
      </c>
      <c r="C73" s="33"/>
      <c r="D73" s="2"/>
      <c r="F73" s="41">
        <f t="shared" ref="F73:O73" si="76">F74+F75</f>
        <v>73789.034516169631</v>
      </c>
      <c r="G73" s="41">
        <f t="shared" si="76"/>
        <v>82087.137325178541</v>
      </c>
      <c r="H73" s="41">
        <f t="shared" si="76"/>
        <v>21540.761757076525</v>
      </c>
      <c r="I73" s="41">
        <f t="shared" si="76"/>
        <v>111814.72167608846</v>
      </c>
      <c r="J73" s="41">
        <f t="shared" si="76"/>
        <v>115486.38298427081</v>
      </c>
      <c r="K73" s="48">
        <f t="shared" si="76"/>
        <v>152383.30002963843</v>
      </c>
      <c r="L73" s="48">
        <f t="shared" si="76"/>
        <v>98492.555530669924</v>
      </c>
      <c r="M73" s="48">
        <f t="shared" si="76"/>
        <v>129075.88573853459</v>
      </c>
      <c r="N73" s="48">
        <f t="shared" si="76"/>
        <v>124909.277554795</v>
      </c>
      <c r="O73" s="48">
        <f t="shared" si="76"/>
        <v>165782.25170348838</v>
      </c>
      <c r="P73" s="48">
        <f t="shared" ref="P73:V73" si="77">P74+P75</f>
        <v>166519.5412205779</v>
      </c>
      <c r="Q73" s="48">
        <f t="shared" si="77"/>
        <v>188784.46337099903</v>
      </c>
      <c r="R73" s="48">
        <f t="shared" si="77"/>
        <v>128248.1391464997</v>
      </c>
      <c r="S73" s="48">
        <f t="shared" si="77"/>
        <v>73537.710340459176</v>
      </c>
      <c r="T73" s="48">
        <f t="shared" si="77"/>
        <v>43593.775061780005</v>
      </c>
      <c r="U73" s="48">
        <f t="shared" si="77"/>
        <v>166376.95372259201</v>
      </c>
      <c r="V73" s="48">
        <f t="shared" si="77"/>
        <v>230398.97644935231</v>
      </c>
      <c r="W73" s="2"/>
      <c r="X73" s="2"/>
      <c r="Y73" s="2"/>
      <c r="Z73" s="2"/>
      <c r="AA73" s="2"/>
      <c r="AB73" s="2"/>
      <c r="AC73" s="2"/>
      <c r="AD73" s="2"/>
      <c r="AE73" s="1"/>
      <c r="AF73" s="1"/>
    </row>
    <row r="74" spans="1:41" x14ac:dyDescent="0.2">
      <c r="B74" s="34" t="s">
        <v>42</v>
      </c>
      <c r="C74" s="34"/>
      <c r="D74" s="19"/>
      <c r="F74" s="42">
        <v>74268.130212926</v>
      </c>
      <c r="G74" s="42">
        <v>83316.509280248545</v>
      </c>
      <c r="H74" s="42">
        <v>22077.910788791298</v>
      </c>
      <c r="I74" s="42">
        <f>-384809.047303431-2312</f>
        <v>-387121.04730343103</v>
      </c>
      <c r="J74" s="42">
        <f>107839.109598294+7574</f>
        <v>115413.109598294</v>
      </c>
      <c r="K74" s="42">
        <v>150902.67133567302</v>
      </c>
      <c r="L74" s="42">
        <v>95675.968613457924</v>
      </c>
      <c r="M74" s="42">
        <v>129839.63557615499</v>
      </c>
      <c r="N74" s="42">
        <v>104827.2</v>
      </c>
      <c r="O74" s="42">
        <v>139790.84366698598</v>
      </c>
      <c r="P74" s="42">
        <v>-703580.99922902603</v>
      </c>
      <c r="Q74" s="42">
        <v>176628.84461659502</v>
      </c>
      <c r="R74" s="42">
        <v>124111.5252421347</v>
      </c>
      <c r="S74" s="42">
        <v>-103813.131191621</v>
      </c>
      <c r="T74" s="42">
        <f>-741498.36493822+11990.4+2.34</f>
        <v>-729505.62493822002</v>
      </c>
      <c r="U74" s="42">
        <v>153728.80069987001</v>
      </c>
      <c r="V74" s="42">
        <v>234889.83652373101</v>
      </c>
      <c r="W74" s="19"/>
      <c r="X74" s="19"/>
      <c r="Y74" s="19"/>
      <c r="Z74" s="19"/>
      <c r="AA74" s="19"/>
      <c r="AB74" s="19"/>
      <c r="AC74" s="19"/>
      <c r="AD74" s="19"/>
    </row>
    <row r="75" spans="1:41" ht="13.5" thickBot="1" x14ac:dyDescent="0.25">
      <c r="B75" s="56" t="s">
        <v>43</v>
      </c>
      <c r="C75" s="56"/>
      <c r="D75" s="9"/>
      <c r="E75" s="8"/>
      <c r="F75" s="57">
        <v>-479.09569675636976</v>
      </c>
      <c r="G75" s="57">
        <v>-1229.3719550700093</v>
      </c>
      <c r="H75" s="57">
        <v>-537.14903171477204</v>
      </c>
      <c r="I75" s="57">
        <v>498935.76897951949</v>
      </c>
      <c r="J75" s="57">
        <v>73.273385976800228</v>
      </c>
      <c r="K75" s="57">
        <v>1480.6286939654001</v>
      </c>
      <c r="L75" s="57">
        <v>2816.5869172120006</v>
      </c>
      <c r="M75" s="57">
        <v>-763.74983762040006</v>
      </c>
      <c r="N75" s="57">
        <v>20082.077554795003</v>
      </c>
      <c r="O75" s="57">
        <v>25991.408036502398</v>
      </c>
      <c r="P75" s="57">
        <v>870100.54044960393</v>
      </c>
      <c r="Q75" s="57">
        <v>12155.618754404</v>
      </c>
      <c r="R75" s="57">
        <v>4136.6139043650001</v>
      </c>
      <c r="S75" s="57">
        <v>177350.84153208017</v>
      </c>
      <c r="T75" s="57">
        <v>773099.4</v>
      </c>
      <c r="U75" s="57">
        <v>12648.153022721999</v>
      </c>
      <c r="V75" s="57">
        <v>-4490.8600743787001</v>
      </c>
      <c r="W75" s="9"/>
      <c r="X75" s="9"/>
      <c r="Y75" s="9"/>
      <c r="Z75" s="9"/>
      <c r="AA75" s="9"/>
      <c r="AB75" s="9"/>
      <c r="AC75" s="9"/>
      <c r="AD75" s="9"/>
      <c r="AE75" s="9"/>
      <c r="AF75" s="9"/>
      <c r="AG75" s="8"/>
      <c r="AH75" s="8"/>
      <c r="AI75" s="8"/>
      <c r="AJ75" s="8"/>
      <c r="AK75" s="8"/>
      <c r="AL75" s="8"/>
      <c r="AM75" s="8"/>
      <c r="AN75" s="8"/>
      <c r="AO75" s="8"/>
    </row>
    <row r="76" spans="1:41" ht="15" thickTop="1" x14ac:dyDescent="0.2">
      <c r="B76" s="191" t="s">
        <v>135</v>
      </c>
      <c r="C76" s="45">
        <v>11613320</v>
      </c>
      <c r="D76" s="45">
        <v>13889052.9</v>
      </c>
      <c r="E76" s="45">
        <v>16208974.699999999</v>
      </c>
      <c r="F76" s="45">
        <v>17626147.699999999</v>
      </c>
      <c r="G76" s="45">
        <v>19802010.600000001</v>
      </c>
      <c r="H76" s="45">
        <v>21623524.600000001</v>
      </c>
      <c r="I76" s="45">
        <v>23752868.600000001</v>
      </c>
      <c r="J76" s="45">
        <v>25462954.600000001</v>
      </c>
      <c r="K76" s="45">
        <v>28001327.600000001</v>
      </c>
      <c r="L76" s="45">
        <v>30401903.199999999</v>
      </c>
      <c r="M76" s="45">
        <v>32056288.199999999</v>
      </c>
      <c r="N76" s="45">
        <v>34343647.5</v>
      </c>
      <c r="O76" s="45">
        <v>36014718.700000003</v>
      </c>
      <c r="P76" s="45">
        <v>37832149.799999997</v>
      </c>
      <c r="Q76" s="45">
        <v>36495246.100000001</v>
      </c>
      <c r="R76" s="45">
        <v>40326625.899999999</v>
      </c>
      <c r="S76" s="45">
        <v>44810030.600000001</v>
      </c>
      <c r="T76" s="45">
        <v>47059272.200000003</v>
      </c>
      <c r="U76" s="45">
        <v>49115934.700000003</v>
      </c>
      <c r="V76" s="45">
        <v>51076285.799999997</v>
      </c>
    </row>
    <row r="78" spans="1:41" x14ac:dyDescent="0.2">
      <c r="B78" s="1" t="s">
        <v>132</v>
      </c>
    </row>
    <row r="79" spans="1:41" x14ac:dyDescent="0.2">
      <c r="B79" s="1" t="s">
        <v>133</v>
      </c>
    </row>
    <row r="80" spans="1:41" x14ac:dyDescent="0.2">
      <c r="B80" s="1" t="s">
        <v>134</v>
      </c>
    </row>
    <row r="83" spans="1:34" x14ac:dyDescent="0.2">
      <c r="A83" s="201" t="s">
        <v>46</v>
      </c>
      <c r="B83" s="201"/>
      <c r="C83" s="201"/>
      <c r="D83" s="201"/>
      <c r="E83" s="201"/>
      <c r="F83" s="201"/>
      <c r="G83" s="201"/>
      <c r="H83" s="201"/>
      <c r="I83" s="201"/>
      <c r="J83" s="201"/>
      <c r="K83" s="201"/>
      <c r="L83" s="201"/>
      <c r="M83" s="201"/>
      <c r="N83" s="201"/>
      <c r="O83" s="201"/>
      <c r="P83" s="201"/>
      <c r="Q83" s="201"/>
      <c r="R83" s="201"/>
      <c r="S83" s="201"/>
      <c r="T83" s="201"/>
      <c r="U83" s="201"/>
      <c r="V83" s="201"/>
      <c r="W83" s="201"/>
      <c r="X83" s="201"/>
      <c r="Y83" s="201"/>
      <c r="Z83" s="201"/>
      <c r="AA83" s="201"/>
      <c r="AB83" s="201"/>
      <c r="AC83" s="201"/>
      <c r="AD83" s="201"/>
      <c r="AE83" s="201"/>
      <c r="AF83" s="201"/>
      <c r="AG83" s="201"/>
      <c r="AH83" s="201"/>
    </row>
    <row r="85" spans="1:34" x14ac:dyDescent="0.2">
      <c r="Q85" s="2"/>
      <c r="R85" s="2"/>
      <c r="S85" s="2"/>
      <c r="T85" s="2"/>
      <c r="U85" s="149"/>
      <c r="V85" s="149"/>
    </row>
    <row r="86" spans="1:34" x14ac:dyDescent="0.2">
      <c r="P86" s="2"/>
      <c r="R86" s="2"/>
      <c r="S86" s="2"/>
      <c r="T86" s="2"/>
      <c r="U86" s="2"/>
      <c r="V86" s="2"/>
    </row>
    <row r="87" spans="1:34" x14ac:dyDescent="0.2">
      <c r="U87" s="2"/>
      <c r="V87" s="2"/>
    </row>
    <row r="88" spans="1:34" x14ac:dyDescent="0.2">
      <c r="Q88" s="2"/>
      <c r="R88" s="2"/>
      <c r="S88" s="2"/>
      <c r="T88" s="2"/>
      <c r="U88" s="2"/>
      <c r="V88" s="2"/>
    </row>
  </sheetData>
  <mergeCells count="6">
    <mergeCell ref="A83:AH83"/>
    <mergeCell ref="C6:T6"/>
    <mergeCell ref="A2:AM2"/>
    <mergeCell ref="A3:AM3"/>
    <mergeCell ref="A4:AM4"/>
    <mergeCell ref="W6:AO6"/>
  </mergeCells>
  <phoneticPr fontId="0" type="noConversion"/>
  <pageMargins left="0.23622047244094491" right="0.27559055118110237" top="0.78740157480314965" bottom="0.19685039370078741" header="0" footer="0"/>
  <pageSetup scale="7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F34D65-B75F-4CEC-903E-C55332D9010F}">
  <dimension ref="A1:AR87"/>
  <sheetViews>
    <sheetView zoomScaleNormal="100" workbookViewId="0">
      <pane xSplit="2" ySplit="7" topLeftCell="C8" activePane="bottomRight" state="frozen"/>
      <selection activeCell="B5" sqref="B5"/>
      <selection pane="topRight" activeCell="B5" sqref="B5"/>
      <selection pane="bottomLeft" activeCell="B5" sqref="B5"/>
      <selection pane="bottomRight" activeCell="C1" sqref="C1:O1048576"/>
    </sheetView>
  </sheetViews>
  <sheetFormatPr baseColWidth="10" defaultRowHeight="12.75" x14ac:dyDescent="0.2"/>
  <cols>
    <col min="1" max="1" width="3.85546875" style="1" customWidth="1"/>
    <col min="2" max="2" width="48.28515625" style="1" customWidth="1"/>
    <col min="3" max="9" width="10.7109375" style="1" hidden="1" customWidth="1"/>
    <col min="10" max="11" width="12.42578125" style="1" hidden="1" customWidth="1"/>
    <col min="12" max="13" width="11.28515625" style="1" hidden="1" customWidth="1"/>
    <col min="14" max="14" width="11.85546875" style="1" hidden="1" customWidth="1"/>
    <col min="15" max="15" width="11.28515625" style="1" hidden="1" customWidth="1"/>
    <col min="16" max="16" width="11.28515625" style="1" customWidth="1"/>
    <col min="17" max="17" width="11.42578125" style="1" customWidth="1"/>
    <col min="18" max="21" width="11.28515625" style="1" customWidth="1"/>
    <col min="22" max="22" width="11.7109375" style="1" bestFit="1" customWidth="1"/>
    <col min="23" max="33" width="7.42578125" style="6" hidden="1" customWidth="1"/>
    <col min="34" max="35" width="7.42578125" style="1" hidden="1" customWidth="1"/>
    <col min="36" max="38" width="7.42578125" style="1" bestFit="1" customWidth="1"/>
    <col min="39" max="39" width="9.7109375" style="1" bestFit="1" customWidth="1"/>
    <col min="40" max="40" width="7.28515625" style="1" customWidth="1"/>
    <col min="41" max="41" width="7.42578125" style="1" bestFit="1" customWidth="1"/>
    <col min="42" max="42" width="16.5703125" style="1" bestFit="1" customWidth="1"/>
    <col min="43" max="43" width="11.42578125" style="1"/>
    <col min="44" max="44" width="19" style="1" bestFit="1" customWidth="1"/>
    <col min="45" max="16384" width="11.42578125" style="1"/>
  </cols>
  <sheetData>
    <row r="1" spans="1:44" x14ac:dyDescent="0.2">
      <c r="AF1" s="6" t="s">
        <v>74</v>
      </c>
    </row>
    <row r="2" spans="1:44" x14ac:dyDescent="0.2">
      <c r="A2" s="203" t="s">
        <v>45</v>
      </c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  <c r="Q2" s="203"/>
      <c r="R2" s="203"/>
      <c r="S2" s="203"/>
      <c r="T2" s="203"/>
      <c r="U2" s="203"/>
      <c r="V2" s="203"/>
      <c r="W2" s="203"/>
      <c r="X2" s="203"/>
      <c r="Y2" s="203"/>
      <c r="Z2" s="203"/>
      <c r="AA2" s="203"/>
      <c r="AB2" s="203"/>
      <c r="AC2" s="203"/>
      <c r="AD2" s="203"/>
      <c r="AE2" s="203"/>
      <c r="AF2" s="203"/>
      <c r="AG2" s="203"/>
      <c r="AH2" s="203"/>
      <c r="AI2" s="203"/>
      <c r="AJ2" s="203"/>
      <c r="AK2" s="203"/>
      <c r="AL2" s="203"/>
      <c r="AM2" s="203"/>
      <c r="AN2" s="203"/>
    </row>
    <row r="3" spans="1:44" x14ac:dyDescent="0.2">
      <c r="A3" s="206" t="s">
        <v>131</v>
      </c>
      <c r="B3" s="206"/>
      <c r="C3" s="206"/>
      <c r="D3" s="206"/>
      <c r="E3" s="206"/>
      <c r="F3" s="206"/>
      <c r="G3" s="206"/>
      <c r="H3" s="206"/>
      <c r="I3" s="206"/>
      <c r="J3" s="206"/>
      <c r="K3" s="206"/>
      <c r="L3" s="206"/>
      <c r="M3" s="206"/>
      <c r="N3" s="206"/>
      <c r="O3" s="206"/>
      <c r="P3" s="206"/>
      <c r="Q3" s="206"/>
      <c r="R3" s="206"/>
      <c r="S3" s="206"/>
      <c r="T3" s="206"/>
      <c r="U3" s="206"/>
      <c r="V3" s="206"/>
      <c r="W3" s="206"/>
      <c r="X3" s="206"/>
      <c r="Y3" s="206"/>
      <c r="Z3" s="206"/>
      <c r="AA3" s="206"/>
      <c r="AB3" s="206"/>
      <c r="AC3" s="206"/>
      <c r="AD3" s="206"/>
      <c r="AE3" s="206"/>
      <c r="AF3" s="206"/>
      <c r="AG3" s="206"/>
      <c r="AH3" s="206"/>
      <c r="AI3" s="206"/>
      <c r="AJ3" s="206"/>
      <c r="AK3" s="206"/>
      <c r="AL3" s="206"/>
      <c r="AM3" s="206"/>
      <c r="AN3" s="206"/>
    </row>
    <row r="4" spans="1:44" x14ac:dyDescent="0.2">
      <c r="A4" s="207" t="s">
        <v>44</v>
      </c>
      <c r="B4" s="207"/>
      <c r="C4" s="207"/>
      <c r="D4" s="207"/>
      <c r="E4" s="207"/>
      <c r="F4" s="207"/>
      <c r="G4" s="207"/>
      <c r="H4" s="207"/>
      <c r="I4" s="207"/>
      <c r="J4" s="207"/>
      <c r="K4" s="207"/>
      <c r="L4" s="207"/>
      <c r="M4" s="207"/>
      <c r="N4" s="207"/>
      <c r="O4" s="207"/>
      <c r="P4" s="207"/>
      <c r="Q4" s="207"/>
      <c r="R4" s="207"/>
      <c r="S4" s="207"/>
      <c r="T4" s="207"/>
      <c r="U4" s="207"/>
      <c r="V4" s="207"/>
      <c r="W4" s="207"/>
      <c r="X4" s="207"/>
      <c r="Y4" s="207"/>
      <c r="Z4" s="207"/>
      <c r="AA4" s="207"/>
      <c r="AB4" s="207"/>
      <c r="AC4" s="207"/>
      <c r="AD4" s="207"/>
      <c r="AE4" s="207"/>
      <c r="AF4" s="207"/>
      <c r="AG4" s="207"/>
      <c r="AH4" s="207"/>
      <c r="AI4" s="207"/>
      <c r="AJ4" s="207"/>
      <c r="AK4" s="207"/>
      <c r="AL4" s="207"/>
      <c r="AM4" s="207"/>
      <c r="AN4" s="207"/>
    </row>
    <row r="5" spans="1:44" ht="13.5" thickBot="1" x14ac:dyDescent="0.25"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8"/>
      <c r="AI5" s="8"/>
      <c r="AJ5" s="8"/>
      <c r="AK5" s="8"/>
      <c r="AL5" s="8"/>
      <c r="AM5" s="8"/>
      <c r="AN5" s="8"/>
      <c r="AO5" s="8"/>
    </row>
    <row r="6" spans="1:44" ht="13.5" thickTop="1" x14ac:dyDescent="0.2">
      <c r="C6" s="202" t="s">
        <v>47</v>
      </c>
      <c r="D6" s="202"/>
      <c r="E6" s="202"/>
      <c r="F6" s="202"/>
      <c r="G6" s="202"/>
      <c r="H6" s="202"/>
      <c r="I6" s="202"/>
      <c r="J6" s="202"/>
      <c r="K6" s="202"/>
      <c r="L6" s="202"/>
      <c r="M6" s="202"/>
      <c r="N6" s="202"/>
      <c r="O6" s="202"/>
      <c r="P6" s="202"/>
      <c r="Q6" s="202"/>
      <c r="R6" s="202"/>
      <c r="S6" s="202"/>
      <c r="T6" s="202"/>
      <c r="U6" s="202"/>
      <c r="V6" s="150"/>
      <c r="W6" s="202" t="s">
        <v>20</v>
      </c>
      <c r="X6" s="202"/>
      <c r="Y6" s="202"/>
      <c r="Z6" s="202"/>
      <c r="AA6" s="202"/>
      <c r="AB6" s="202"/>
      <c r="AC6" s="202"/>
      <c r="AD6" s="202"/>
      <c r="AE6" s="202"/>
      <c r="AF6" s="202"/>
      <c r="AG6" s="202"/>
      <c r="AH6" s="202"/>
      <c r="AI6" s="202"/>
      <c r="AJ6" s="202"/>
      <c r="AK6" s="202"/>
      <c r="AL6" s="202"/>
      <c r="AM6" s="202"/>
      <c r="AN6" s="202"/>
    </row>
    <row r="7" spans="1:44" x14ac:dyDescent="0.2">
      <c r="B7" s="11" t="s">
        <v>0</v>
      </c>
      <c r="C7" s="12">
        <v>2006</v>
      </c>
      <c r="D7" s="12">
        <v>2007</v>
      </c>
      <c r="E7" s="12">
        <v>2008</v>
      </c>
      <c r="F7" s="12">
        <v>2009</v>
      </c>
      <c r="G7" s="12">
        <v>2010</v>
      </c>
      <c r="H7" s="12">
        <v>2011</v>
      </c>
      <c r="I7" s="12">
        <v>2012</v>
      </c>
      <c r="J7" s="12">
        <v>2013</v>
      </c>
      <c r="K7" s="12">
        <v>2014</v>
      </c>
      <c r="L7" s="12">
        <v>2015</v>
      </c>
      <c r="M7" s="12">
        <v>2016</v>
      </c>
      <c r="N7" s="12">
        <v>2017</v>
      </c>
      <c r="O7" s="12">
        <v>2018</v>
      </c>
      <c r="P7" s="12">
        <v>2019</v>
      </c>
      <c r="Q7" s="12">
        <v>2020</v>
      </c>
      <c r="R7" s="12">
        <v>2021</v>
      </c>
      <c r="S7" s="12">
        <v>2022</v>
      </c>
      <c r="T7" s="12">
        <v>2023</v>
      </c>
      <c r="U7" s="12">
        <v>2024</v>
      </c>
      <c r="V7" s="12">
        <v>2025</v>
      </c>
      <c r="W7" s="13" t="s">
        <v>57</v>
      </c>
      <c r="X7" s="107" t="s">
        <v>58</v>
      </c>
      <c r="Y7" s="12" t="s">
        <v>59</v>
      </c>
      <c r="Z7" s="12" t="s">
        <v>60</v>
      </c>
      <c r="AA7" s="12" t="s">
        <v>61</v>
      </c>
      <c r="AB7" s="12" t="s">
        <v>62</v>
      </c>
      <c r="AC7" s="13" t="s">
        <v>63</v>
      </c>
      <c r="AD7" s="13" t="s">
        <v>64</v>
      </c>
      <c r="AE7" s="13" t="s">
        <v>65</v>
      </c>
      <c r="AF7" s="13" t="s">
        <v>66</v>
      </c>
      <c r="AG7" s="13" t="s">
        <v>67</v>
      </c>
      <c r="AH7" s="13" t="s">
        <v>129</v>
      </c>
      <c r="AI7" s="13" t="s">
        <v>68</v>
      </c>
      <c r="AJ7" s="13" t="s">
        <v>69</v>
      </c>
      <c r="AK7" s="13" t="s">
        <v>70</v>
      </c>
      <c r="AL7" s="13" t="s">
        <v>71</v>
      </c>
      <c r="AM7" s="13" t="s">
        <v>75</v>
      </c>
      <c r="AN7" s="13" t="s">
        <v>77</v>
      </c>
      <c r="AO7" s="13" t="s">
        <v>130</v>
      </c>
    </row>
    <row r="8" spans="1:44" x14ac:dyDescent="0.2">
      <c r="C8" s="6"/>
      <c r="D8" s="6"/>
    </row>
    <row r="9" spans="1:44" x14ac:dyDescent="0.2">
      <c r="A9" s="1">
        <v>1</v>
      </c>
      <c r="B9" s="3" t="s">
        <v>10</v>
      </c>
      <c r="C9" s="21">
        <f>+C11+C34</f>
        <v>1431027.4611869995</v>
      </c>
      <c r="D9" s="21">
        <f t="shared" ref="D9:O9" si="0">+D11+D34</f>
        <v>1813374.0152103496</v>
      </c>
      <c r="E9" s="21">
        <f t="shared" si="0"/>
        <v>2199703.5359729398</v>
      </c>
      <c r="F9" s="21">
        <f t="shared" si="0"/>
        <v>2056158.00662806</v>
      </c>
      <c r="G9" s="21">
        <f t="shared" si="0"/>
        <v>2366517.5290624104</v>
      </c>
      <c r="H9" s="21">
        <f t="shared" si="0"/>
        <v>2572830.3125273301</v>
      </c>
      <c r="I9" s="21">
        <f t="shared" si="0"/>
        <v>2808445.0439294302</v>
      </c>
      <c r="J9" s="21">
        <f t="shared" si="0"/>
        <v>3035777.41626985</v>
      </c>
      <c r="K9" s="21">
        <f t="shared" si="0"/>
        <v>3260953.0966890603</v>
      </c>
      <c r="L9" s="21">
        <f t="shared" si="0"/>
        <v>3557119.2763652303</v>
      </c>
      <c r="M9" s="21">
        <f t="shared" si="0"/>
        <v>3876892.7451268705</v>
      </c>
      <c r="N9" s="21">
        <f t="shared" si="0"/>
        <v>4087432.0705833603</v>
      </c>
      <c r="O9" s="21">
        <f t="shared" si="0"/>
        <v>4156951.8799483897</v>
      </c>
      <c r="P9" s="21">
        <f t="shared" ref="P9:V9" si="1">+P11+P34</f>
        <v>4641531.2192175994</v>
      </c>
      <c r="Q9" s="21">
        <f t="shared" si="1"/>
        <v>4114594.8577804505</v>
      </c>
      <c r="R9" s="21">
        <f t="shared" si="1"/>
        <v>5525828.9675837196</v>
      </c>
      <c r="S9" s="21">
        <f t="shared" si="1"/>
        <v>6516604.6033860501</v>
      </c>
      <c r="T9" s="21">
        <f t="shared" si="1"/>
        <v>6396180.9980051005</v>
      </c>
      <c r="U9" s="21">
        <f t="shared" si="1"/>
        <v>6584860.4403026309</v>
      </c>
      <c r="V9" s="21">
        <f t="shared" si="1"/>
        <v>6606406.9526698403</v>
      </c>
      <c r="W9" s="40">
        <f>+D9/C9-1</f>
        <v>0.26718324028960549</v>
      </c>
      <c r="X9" s="40">
        <f t="shared" ref="X9:AK9" si="2">+E9/D9-1</f>
        <v>0.21304458844237728</v>
      </c>
      <c r="Y9" s="40">
        <f t="shared" si="2"/>
        <v>-6.525676164874139E-2</v>
      </c>
      <c r="Z9" s="40">
        <f t="shared" si="2"/>
        <v>0.15094147503932143</v>
      </c>
      <c r="AA9" s="40">
        <f t="shared" si="2"/>
        <v>8.7179909268053857E-2</v>
      </c>
      <c r="AB9" s="40">
        <f t="shared" si="2"/>
        <v>9.157802994424924E-2</v>
      </c>
      <c r="AC9" s="40">
        <f t="shared" si="2"/>
        <v>8.0945992812573753E-2</v>
      </c>
      <c r="AD9" s="40">
        <f t="shared" si="2"/>
        <v>7.4173975737618525E-2</v>
      </c>
      <c r="AE9" s="40">
        <f t="shared" si="2"/>
        <v>9.0821968576265677E-2</v>
      </c>
      <c r="AF9" s="40">
        <f t="shared" si="2"/>
        <v>8.9896751814404707E-2</v>
      </c>
      <c r="AG9" s="40">
        <f t="shared" si="2"/>
        <v>5.4306203265780617E-2</v>
      </c>
      <c r="AH9" s="40">
        <f>+O9/N9-1</f>
        <v>1.7008187087769189E-2</v>
      </c>
      <c r="AI9" s="40">
        <f>+P9/O9-1</f>
        <v>0.1165708320095411</v>
      </c>
      <c r="AJ9" s="40">
        <f t="shared" si="2"/>
        <v>-0.11352640681494153</v>
      </c>
      <c r="AK9" s="40">
        <f t="shared" si="2"/>
        <v>0.34298251919863043</v>
      </c>
      <c r="AL9" s="40">
        <f>+S9/R9-1</f>
        <v>0.17929900502070129</v>
      </c>
      <c r="AM9" s="40">
        <f>+T9/S9-1</f>
        <v>-1.8479501628559269E-2</v>
      </c>
      <c r="AN9" s="40">
        <f>+U9/T9-1</f>
        <v>2.9498765334560861E-2</v>
      </c>
      <c r="AO9" s="40">
        <f>+V9/U9-1</f>
        <v>3.2721289331105741E-3</v>
      </c>
      <c r="AQ9" s="148"/>
      <c r="AR9" s="2"/>
    </row>
    <row r="10" spans="1:44" x14ac:dyDescent="0.2">
      <c r="B10" s="3"/>
      <c r="C10" s="2"/>
      <c r="D10" s="2"/>
      <c r="E10" s="2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  <c r="AL10" s="28"/>
      <c r="AM10" s="28"/>
      <c r="AN10" s="28"/>
      <c r="AO10" s="28"/>
    </row>
    <row r="11" spans="1:44" x14ac:dyDescent="0.2">
      <c r="B11" s="3" t="s">
        <v>31</v>
      </c>
      <c r="C11" s="20">
        <f>+C12+C30+C31+C32</f>
        <v>1430546.5177701996</v>
      </c>
      <c r="D11" s="20">
        <f t="shared" ref="D11:O11" si="3">+D12+D30+D31+D32</f>
        <v>1813165.0152103496</v>
      </c>
      <c r="E11" s="20">
        <f t="shared" si="3"/>
        <v>2199391.73597294</v>
      </c>
      <c r="F11" s="20">
        <f t="shared" si="3"/>
        <v>2054676.26662806</v>
      </c>
      <c r="G11" s="20">
        <f t="shared" si="3"/>
        <v>2365228.1290624104</v>
      </c>
      <c r="H11" s="20">
        <f t="shared" si="3"/>
        <v>2572534.9658073601</v>
      </c>
      <c r="I11" s="20">
        <f t="shared" si="3"/>
        <v>2804511.7939294302</v>
      </c>
      <c r="J11" s="20">
        <f t="shared" si="3"/>
        <v>3035485.23337318</v>
      </c>
      <c r="K11" s="20">
        <f t="shared" si="3"/>
        <v>3259551.8638309203</v>
      </c>
      <c r="L11" s="20">
        <f t="shared" si="3"/>
        <v>3556151.1094486802</v>
      </c>
      <c r="M11" s="20">
        <f t="shared" si="3"/>
        <v>3872413.2577288803</v>
      </c>
      <c r="N11" s="20">
        <f t="shared" si="3"/>
        <v>4080618.1405365304</v>
      </c>
      <c r="O11" s="20">
        <f t="shared" si="3"/>
        <v>4155481.7117268997</v>
      </c>
      <c r="P11" s="20">
        <f t="shared" ref="P11:V11" si="4">+P12+P30+P31+P32</f>
        <v>4541155.5442175996</v>
      </c>
      <c r="Q11" s="20">
        <f t="shared" si="4"/>
        <v>4039594.8577804505</v>
      </c>
      <c r="R11" s="20">
        <f t="shared" si="4"/>
        <v>5519294.0186387198</v>
      </c>
      <c r="S11" s="20">
        <f t="shared" si="4"/>
        <v>6508994.4682960501</v>
      </c>
      <c r="T11" s="20">
        <f t="shared" si="4"/>
        <v>6388830.2533371001</v>
      </c>
      <c r="U11" s="20">
        <f t="shared" si="4"/>
        <v>6577258.7216986306</v>
      </c>
      <c r="V11" s="20">
        <f t="shared" si="4"/>
        <v>6589978.0023621004</v>
      </c>
      <c r="W11" s="28">
        <f t="shared" ref="W11:W71" si="5">+D11/C11-1</f>
        <v>0.2674631636841418</v>
      </c>
      <c r="X11" s="28">
        <f t="shared" ref="X11:X32" si="6">+E11/D11-1</f>
        <v>0.21301244923798812</v>
      </c>
      <c r="Y11" s="28">
        <f t="shared" ref="Y11:Y32" si="7">+F11/E11-1</f>
        <v>-6.5797950850652986E-2</v>
      </c>
      <c r="Z11" s="28">
        <f t="shared" ref="Z11:Z32" si="8">+G11/F11-1</f>
        <v>0.15114393808811477</v>
      </c>
      <c r="AA11" s="28">
        <f t="shared" ref="AA11:AA32" si="9">+H11/G11-1</f>
        <v>8.7647713215353695E-2</v>
      </c>
      <c r="AB11" s="28">
        <f t="shared" ref="AB11:AB32" si="10">+I11/H11-1</f>
        <v>9.0174412089775835E-2</v>
      </c>
      <c r="AC11" s="28">
        <f t="shared" ref="AC11:AC32" si="11">+J11/I11-1</f>
        <v>8.2357806425955804E-2</v>
      </c>
      <c r="AD11" s="28">
        <f t="shared" ref="AD11:AD32" si="12">+K11/J11-1</f>
        <v>7.3815753736593326E-2</v>
      </c>
      <c r="AE11" s="28">
        <f t="shared" ref="AE11:AE32" si="13">+L11/K11-1</f>
        <v>9.0993872166577505E-2</v>
      </c>
      <c r="AF11" s="28">
        <f t="shared" ref="AF11:AF32" si="14">+M11/L11-1</f>
        <v>8.8933832828389292E-2</v>
      </c>
      <c r="AG11" s="28">
        <f t="shared" ref="AG11:AG32" si="15">+N11/M11-1</f>
        <v>5.3766183759467845E-2</v>
      </c>
      <c r="AH11" s="28">
        <f t="shared" ref="AH11:AH32" si="16">+O11/N11-1</f>
        <v>1.8346134975649964E-2</v>
      </c>
      <c r="AI11" s="28">
        <f t="shared" ref="AI11:AI32" si="17">+P11/O11-1</f>
        <v>9.2810860267370732E-2</v>
      </c>
      <c r="AJ11" s="28">
        <f t="shared" ref="AJ11:AO32" si="18">+Q11/P11-1</f>
        <v>-0.11044781037632645</v>
      </c>
      <c r="AK11" s="28">
        <f t="shared" si="18"/>
        <v>0.36629890198228643</v>
      </c>
      <c r="AL11" s="28">
        <f t="shared" si="18"/>
        <v>0.17931649343468581</v>
      </c>
      <c r="AM11" s="28">
        <f t="shared" si="18"/>
        <v>-1.8461256273030302E-2</v>
      </c>
      <c r="AN11" s="28">
        <f t="shared" si="18"/>
        <v>2.9493422252548918E-2</v>
      </c>
      <c r="AO11" s="28">
        <f t="shared" si="18"/>
        <v>1.9338270245488065E-3</v>
      </c>
      <c r="AQ11" s="148"/>
      <c r="AR11" s="2"/>
    </row>
    <row r="12" spans="1:44" x14ac:dyDescent="0.2">
      <c r="B12" s="22" t="s">
        <v>30</v>
      </c>
      <c r="C12" s="2">
        <f t="shared" ref="C12:O12" si="19">+C13+C14+C17+C21+C24+C27</f>
        <v>1376715.8130814198</v>
      </c>
      <c r="D12" s="2">
        <f t="shared" si="19"/>
        <v>1744953.4012669097</v>
      </c>
      <c r="E12" s="2">
        <f t="shared" si="19"/>
        <v>2125744.70521633</v>
      </c>
      <c r="F12" s="2">
        <f t="shared" si="19"/>
        <v>1970015.25382713</v>
      </c>
      <c r="G12" s="2">
        <f t="shared" si="19"/>
        <v>2146150.3589512301</v>
      </c>
      <c r="H12" s="2">
        <f t="shared" si="19"/>
        <v>2345559.1808927702</v>
      </c>
      <c r="I12" s="2">
        <f t="shared" si="19"/>
        <v>2575670.6640882799</v>
      </c>
      <c r="J12" s="2">
        <f t="shared" si="19"/>
        <v>2809866.7594891298</v>
      </c>
      <c r="K12" s="2">
        <f t="shared" si="19"/>
        <v>3016989.8827353301</v>
      </c>
      <c r="L12" s="2">
        <f t="shared" si="19"/>
        <v>3289099.25044948</v>
      </c>
      <c r="M12" s="2">
        <f t="shared" si="19"/>
        <v>3569559.6310819001</v>
      </c>
      <c r="N12" s="2">
        <f t="shared" si="19"/>
        <v>3763394.7360700904</v>
      </c>
      <c r="O12" s="2">
        <f t="shared" si="19"/>
        <v>3837232.9105626396</v>
      </c>
      <c r="P12" s="2">
        <f>+P13+P14+P17+P21+P24+P27</f>
        <v>4204748.5769829694</v>
      </c>
      <c r="Q12" s="2">
        <f>+Q13+Q14+Q17+Q21+Q24+Q27</f>
        <v>3717163.5760693904</v>
      </c>
      <c r="R12" s="2">
        <f>+R13+R14+R17+R21+R24+R27+R28+R29</f>
        <v>4836608.9224493597</v>
      </c>
      <c r="S12" s="2">
        <f>+S13+S14+S17+S21+S24+S27+S28+S29</f>
        <v>5565118.0678650308</v>
      </c>
      <c r="T12" s="2">
        <f>+T13+T14+T17+T21+T24+T27+T28+T29</f>
        <v>5707386.7305077193</v>
      </c>
      <c r="U12" s="2">
        <f>+U13+U14+U17+U21+U24+U27+U28+U29</f>
        <v>5823359.6013695905</v>
      </c>
      <c r="V12" s="2">
        <f>+V13+V14+V17+V21+V24+V27+V28+V29</f>
        <v>5847976.1376781501</v>
      </c>
      <c r="W12" s="29">
        <f t="shared" si="5"/>
        <v>0.26747538212791055</v>
      </c>
      <c r="X12" s="29">
        <f t="shared" si="6"/>
        <v>0.2182243397863517</v>
      </c>
      <c r="Y12" s="29">
        <f t="shared" si="7"/>
        <v>-7.3258774210778088E-2</v>
      </c>
      <c r="Z12" s="29">
        <f t="shared" si="8"/>
        <v>8.9407990512725188E-2</v>
      </c>
      <c r="AA12" s="29">
        <f t="shared" si="9"/>
        <v>9.2914655820753422E-2</v>
      </c>
      <c r="AB12" s="29">
        <f t="shared" si="10"/>
        <v>9.8105170430159205E-2</v>
      </c>
      <c r="AC12" s="29">
        <f t="shared" si="11"/>
        <v>9.0926258029090601E-2</v>
      </c>
      <c r="AD12" s="29">
        <f t="shared" si="12"/>
        <v>7.3712791735312866E-2</v>
      </c>
      <c r="AE12" s="29">
        <f t="shared" si="13"/>
        <v>9.0192336829265196E-2</v>
      </c>
      <c r="AF12" s="29">
        <f t="shared" si="14"/>
        <v>8.5269661775664973E-2</v>
      </c>
      <c r="AG12" s="29">
        <f t="shared" si="15"/>
        <v>5.4302245941032501E-2</v>
      </c>
      <c r="AH12" s="29">
        <f t="shared" si="16"/>
        <v>1.9620098254602425E-2</v>
      </c>
      <c r="AI12" s="29">
        <f t="shared" si="17"/>
        <v>9.5776220778436505E-2</v>
      </c>
      <c r="AJ12" s="29">
        <f t="shared" si="18"/>
        <v>-0.11596056030142843</v>
      </c>
      <c r="AK12" s="29">
        <f t="shared" si="18"/>
        <v>0.30115579351600541</v>
      </c>
      <c r="AL12" s="29">
        <f t="shared" si="18"/>
        <v>0.1506239510154026</v>
      </c>
      <c r="AM12" s="29">
        <f t="shared" si="18"/>
        <v>2.5564356570294322E-2</v>
      </c>
      <c r="AN12" s="29">
        <f t="shared" si="18"/>
        <v>2.03197849274801E-2</v>
      </c>
      <c r="AO12" s="29">
        <f t="shared" si="18"/>
        <v>4.2272052549821026E-3</v>
      </c>
      <c r="AQ12" s="148"/>
      <c r="AR12" s="2"/>
    </row>
    <row r="13" spans="1:44" x14ac:dyDescent="0.2">
      <c r="B13" s="23" t="s">
        <v>23</v>
      </c>
      <c r="C13" s="2">
        <v>311169.61998543999</v>
      </c>
      <c r="D13" s="2">
        <v>416618.03835901996</v>
      </c>
      <c r="E13" s="2">
        <v>569979.80572374002</v>
      </c>
      <c r="F13" s="2">
        <v>570851.40906183992</v>
      </c>
      <c r="G13" s="2">
        <v>608049.63505161006</v>
      </c>
      <c r="H13" s="2">
        <v>642433.36453419016</v>
      </c>
      <c r="I13" s="2">
        <v>716725.33258920012</v>
      </c>
      <c r="J13" s="2">
        <v>827071.61086165998</v>
      </c>
      <c r="K13" s="2">
        <v>886964.09812334995</v>
      </c>
      <c r="L13" s="2">
        <v>1026783.48381169</v>
      </c>
      <c r="M13" s="2">
        <v>1153851.0436484599</v>
      </c>
      <c r="N13" s="2">
        <v>1287104.4226593298</v>
      </c>
      <c r="O13" s="2">
        <v>1351765.29177772</v>
      </c>
      <c r="P13" s="2">
        <v>1562206.9510355098</v>
      </c>
      <c r="Q13" s="2">
        <v>1430107.9050572703</v>
      </c>
      <c r="R13" s="2">
        <v>1800575.9505008699</v>
      </c>
      <c r="S13" s="2">
        <v>2138962.3868898801</v>
      </c>
      <c r="T13" s="2">
        <v>2174166.9043487096</v>
      </c>
      <c r="U13" s="2">
        <v>2098900.3722191099</v>
      </c>
      <c r="V13" s="2">
        <v>2130011.2118214997</v>
      </c>
      <c r="W13" s="29">
        <f t="shared" si="5"/>
        <v>0.33887761401165717</v>
      </c>
      <c r="X13" s="29">
        <f t="shared" si="6"/>
        <v>0.36811120317493495</v>
      </c>
      <c r="Y13" s="29">
        <f t="shared" si="7"/>
        <v>1.5291828400711971E-3</v>
      </c>
      <c r="Z13" s="29">
        <f t="shared" si="8"/>
        <v>6.5162712046035187E-2</v>
      </c>
      <c r="AA13" s="29">
        <f t="shared" si="9"/>
        <v>5.6547570297713623E-2</v>
      </c>
      <c r="AB13" s="29">
        <f t="shared" si="10"/>
        <v>0.11564151576852932</v>
      </c>
      <c r="AC13" s="29">
        <f t="shared" si="11"/>
        <v>0.15395894808661126</v>
      </c>
      <c r="AD13" s="29">
        <f t="shared" si="12"/>
        <v>7.2415116750643493E-2</v>
      </c>
      <c r="AE13" s="29">
        <f t="shared" si="13"/>
        <v>0.15763815692672534</v>
      </c>
      <c r="AF13" s="29">
        <f t="shared" si="14"/>
        <v>0.12375302275515931</v>
      </c>
      <c r="AG13" s="29">
        <f t="shared" si="15"/>
        <v>0.11548577240050384</v>
      </c>
      <c r="AH13" s="29">
        <f t="shared" si="16"/>
        <v>5.0237469454725403E-2</v>
      </c>
      <c r="AI13" s="29">
        <f t="shared" si="17"/>
        <v>0.15567914085220802</v>
      </c>
      <c r="AJ13" s="29">
        <f t="shared" si="18"/>
        <v>-8.4559248626231986E-2</v>
      </c>
      <c r="AK13" s="29">
        <f t="shared" si="18"/>
        <v>0.25904901590538643</v>
      </c>
      <c r="AL13" s="29">
        <f t="shared" si="18"/>
        <v>0.18793233148253519</v>
      </c>
      <c r="AM13" s="29">
        <f t="shared" si="18"/>
        <v>1.6458689350782763E-2</v>
      </c>
      <c r="AN13" s="29">
        <f t="shared" si="18"/>
        <v>-3.4618562162386679E-2</v>
      </c>
      <c r="AO13" s="29">
        <f t="shared" si="18"/>
        <v>1.4822447036634268E-2</v>
      </c>
      <c r="AQ13" s="148"/>
      <c r="AR13" s="2"/>
    </row>
    <row r="14" spans="1:44" x14ac:dyDescent="0.2">
      <c r="B14" s="23" t="s">
        <v>24</v>
      </c>
      <c r="C14" s="2">
        <f t="shared" ref="C14:O14" si="20">+C15+C16</f>
        <v>94751.785325109988</v>
      </c>
      <c r="D14" s="2">
        <f t="shared" si="20"/>
        <v>121387.90240767</v>
      </c>
      <c r="E14" s="2">
        <f t="shared" si="20"/>
        <v>143203.46230329998</v>
      </c>
      <c r="F14" s="2">
        <f t="shared" si="20"/>
        <v>106409.60041427999</v>
      </c>
      <c r="G14" s="2">
        <f t="shared" si="20"/>
        <v>113354.10325536999</v>
      </c>
      <c r="H14" s="2">
        <f t="shared" si="20"/>
        <v>133664.99155897001</v>
      </c>
      <c r="I14" s="2">
        <f t="shared" si="20"/>
        <v>138816.24986972997</v>
      </c>
      <c r="J14" s="2">
        <f t="shared" si="20"/>
        <v>139962.57845855999</v>
      </c>
      <c r="K14" s="2">
        <f t="shared" si="20"/>
        <v>154016.40839524003</v>
      </c>
      <c r="L14" s="2">
        <f t="shared" si="20"/>
        <v>157557.15027108</v>
      </c>
      <c r="M14" s="2">
        <f t="shared" si="20"/>
        <v>168122.92752976</v>
      </c>
      <c r="N14" s="2">
        <f t="shared" si="20"/>
        <v>163723.20450955001</v>
      </c>
      <c r="O14" s="2">
        <f t="shared" si="20"/>
        <v>159522.35071997001</v>
      </c>
      <c r="P14" s="2">
        <f t="shared" ref="P14:V14" si="21">+P15+P16</f>
        <v>150983.11122859002</v>
      </c>
      <c r="Q14" s="2">
        <f t="shared" si="21"/>
        <v>114100.86223997</v>
      </c>
      <c r="R14" s="2">
        <f t="shared" si="21"/>
        <v>163269.56760288001</v>
      </c>
      <c r="S14" s="2">
        <f t="shared" si="21"/>
        <v>154457.00650044001</v>
      </c>
      <c r="T14" s="2">
        <f t="shared" si="21"/>
        <v>154025.59527958001</v>
      </c>
      <c r="U14" s="2">
        <f t="shared" si="21"/>
        <v>169602.22712811996</v>
      </c>
      <c r="V14" s="2">
        <f t="shared" si="21"/>
        <v>180612.52865215001</v>
      </c>
      <c r="W14" s="29">
        <f t="shared" si="5"/>
        <v>0.28111467231110021</v>
      </c>
      <c r="X14" s="29">
        <f t="shared" si="6"/>
        <v>0.1797177433906425</v>
      </c>
      <c r="Y14" s="29">
        <f t="shared" si="7"/>
        <v>-0.25693416414117043</v>
      </c>
      <c r="Z14" s="29">
        <f t="shared" si="8"/>
        <v>6.5261995290399222E-2</v>
      </c>
      <c r="AA14" s="29">
        <f t="shared" si="9"/>
        <v>0.17918088291733558</v>
      </c>
      <c r="AB14" s="29">
        <f t="shared" si="10"/>
        <v>3.8538575065015124E-2</v>
      </c>
      <c r="AC14" s="29">
        <f t="shared" si="11"/>
        <v>8.2578847210306172E-3</v>
      </c>
      <c r="AD14" s="29">
        <f t="shared" si="12"/>
        <v>0.10041133916978451</v>
      </c>
      <c r="AE14" s="29">
        <f t="shared" si="13"/>
        <v>2.2989380889558486E-2</v>
      </c>
      <c r="AF14" s="29">
        <f t="shared" si="14"/>
        <v>6.705996675175574E-2</v>
      </c>
      <c r="AG14" s="29">
        <f t="shared" si="15"/>
        <v>-2.6169678846635458E-2</v>
      </c>
      <c r="AH14" s="29">
        <f t="shared" si="16"/>
        <v>-2.5658267575229154E-2</v>
      </c>
      <c r="AI14" s="29">
        <f t="shared" si="17"/>
        <v>-5.3530050509160376E-2</v>
      </c>
      <c r="AJ14" s="29">
        <f t="shared" si="18"/>
        <v>-0.2442806264124463</v>
      </c>
      <c r="AK14" s="29">
        <f t="shared" si="18"/>
        <v>0.43092317093539023</v>
      </c>
      <c r="AL14" s="29">
        <f t="shared" si="18"/>
        <v>-5.3975527906552467E-2</v>
      </c>
      <c r="AM14" s="29">
        <f t="shared" si="18"/>
        <v>-2.7930828819913156E-3</v>
      </c>
      <c r="AN14" s="29">
        <f t="shared" si="18"/>
        <v>0.10113015190927177</v>
      </c>
      <c r="AO14" s="29">
        <f t="shared" si="18"/>
        <v>6.4918378198611126E-2</v>
      </c>
      <c r="AQ14" s="148"/>
      <c r="AR14" s="2"/>
    </row>
    <row r="15" spans="1:44" x14ac:dyDescent="0.2">
      <c r="B15" s="24" t="s">
        <v>35</v>
      </c>
      <c r="C15" s="2">
        <v>75869.632699829992</v>
      </c>
      <c r="D15" s="2">
        <v>96683.359060820003</v>
      </c>
      <c r="E15" s="2">
        <v>113312.74810419999</v>
      </c>
      <c r="F15" s="2">
        <v>88104.405373770001</v>
      </c>
      <c r="G15" s="2">
        <v>92957.304660789989</v>
      </c>
      <c r="H15" s="2">
        <v>111478.55810074</v>
      </c>
      <c r="I15" s="2">
        <v>117054.78966934999</v>
      </c>
      <c r="J15" s="2">
        <v>118284.77192356001</v>
      </c>
      <c r="K15" s="2">
        <v>129379.32310008002</v>
      </c>
      <c r="L15" s="2">
        <v>133919.82809927</v>
      </c>
      <c r="M15" s="2">
        <v>143517.1721657</v>
      </c>
      <c r="N15" s="2">
        <v>139375.12968531001</v>
      </c>
      <c r="O15" s="2">
        <v>135303.51746793001</v>
      </c>
      <c r="P15" s="2">
        <v>129409.30725318</v>
      </c>
      <c r="Q15" s="2">
        <v>97708.40930272</v>
      </c>
      <c r="R15" s="2">
        <v>136475.50645309</v>
      </c>
      <c r="S15" s="2">
        <v>123977.13319789</v>
      </c>
      <c r="T15" s="2">
        <v>125935.06451782001</v>
      </c>
      <c r="U15" s="2">
        <v>139235.33249220997</v>
      </c>
      <c r="V15" s="2">
        <v>149009.62322601001</v>
      </c>
      <c r="W15" s="29">
        <f t="shared" si="5"/>
        <v>0.2743354043024997</v>
      </c>
      <c r="X15" s="29">
        <f t="shared" si="6"/>
        <v>0.17199846183373735</v>
      </c>
      <c r="Y15" s="29">
        <f t="shared" si="7"/>
        <v>-0.22246696115117537</v>
      </c>
      <c r="Z15" s="29">
        <f t="shared" si="8"/>
        <v>5.5081233071516467E-2</v>
      </c>
      <c r="AA15" s="29">
        <f t="shared" si="9"/>
        <v>0.1992447339941259</v>
      </c>
      <c r="AB15" s="29">
        <f t="shared" si="10"/>
        <v>5.0020664633739775E-2</v>
      </c>
      <c r="AC15" s="29">
        <f t="shared" si="11"/>
        <v>1.0507748189411137E-2</v>
      </c>
      <c r="AD15" s="29">
        <f t="shared" si="12"/>
        <v>9.3795262028232296E-2</v>
      </c>
      <c r="AE15" s="29">
        <f t="shared" si="13"/>
        <v>3.5094518122325669E-2</v>
      </c>
      <c r="AF15" s="29">
        <f t="shared" si="14"/>
        <v>7.1664847563243761E-2</v>
      </c>
      <c r="AG15" s="29">
        <f t="shared" si="15"/>
        <v>-2.8860953834902281E-2</v>
      </c>
      <c r="AH15" s="29">
        <f t="shared" si="16"/>
        <v>-2.921333401858095E-2</v>
      </c>
      <c r="AI15" s="29">
        <f t="shared" si="17"/>
        <v>-4.3562874972168153E-2</v>
      </c>
      <c r="AJ15" s="29">
        <f t="shared" si="18"/>
        <v>-0.24496613592436189</v>
      </c>
      <c r="AK15" s="29">
        <f t="shared" si="18"/>
        <v>0.39676315914899263</v>
      </c>
      <c r="AL15" s="29">
        <f t="shared" si="18"/>
        <v>-9.1579607066679003E-2</v>
      </c>
      <c r="AM15" s="29">
        <f t="shared" si="18"/>
        <v>1.5792681032596567E-2</v>
      </c>
      <c r="AN15" s="29">
        <f t="shared" si="18"/>
        <v>0.10561211069620691</v>
      </c>
      <c r="AO15" s="29">
        <f t="shared" si="18"/>
        <v>7.0199787358908416E-2</v>
      </c>
      <c r="AQ15" s="148"/>
      <c r="AR15" s="2"/>
    </row>
    <row r="16" spans="1:44" x14ac:dyDescent="0.2">
      <c r="B16" s="24" t="s">
        <v>36</v>
      </c>
      <c r="C16" s="2">
        <v>18882.152625279999</v>
      </c>
      <c r="D16" s="2">
        <v>24704.543346849998</v>
      </c>
      <c r="E16" s="2">
        <v>29890.714199099999</v>
      </c>
      <c r="F16" s="2">
        <v>18305.195040509996</v>
      </c>
      <c r="G16" s="2">
        <v>20396.798594579999</v>
      </c>
      <c r="H16" s="2">
        <v>22186.43345823</v>
      </c>
      <c r="I16" s="2">
        <v>21761.460200379996</v>
      </c>
      <c r="J16" s="2">
        <v>21677.806534999996</v>
      </c>
      <c r="K16" s="2">
        <v>24637.085295159995</v>
      </c>
      <c r="L16" s="2">
        <v>23637.322171810003</v>
      </c>
      <c r="M16" s="2">
        <v>24605.755364059998</v>
      </c>
      <c r="N16" s="2">
        <v>24348.074824239997</v>
      </c>
      <c r="O16" s="2">
        <v>24218.833252040004</v>
      </c>
      <c r="P16" s="2">
        <v>21573.803975410003</v>
      </c>
      <c r="Q16" s="2">
        <v>16392.45293725</v>
      </c>
      <c r="R16" s="2">
        <v>26794.061149790003</v>
      </c>
      <c r="S16" s="2">
        <v>30479.873302549997</v>
      </c>
      <c r="T16" s="2">
        <v>28090.530761760001</v>
      </c>
      <c r="U16" s="2">
        <v>30366.894635909997</v>
      </c>
      <c r="V16" s="2">
        <v>31602.905426139994</v>
      </c>
      <c r="W16" s="29">
        <f t="shared" si="5"/>
        <v>0.3083541817035631</v>
      </c>
      <c r="X16" s="29">
        <f t="shared" si="6"/>
        <v>0.20992781689734308</v>
      </c>
      <c r="Y16" s="29">
        <f t="shared" si="7"/>
        <v>-0.38759592967299661</v>
      </c>
      <c r="Z16" s="29">
        <f t="shared" si="8"/>
        <v>0.11426283901598522</v>
      </c>
      <c r="AA16" s="29">
        <f t="shared" si="9"/>
        <v>8.7740968532461494E-2</v>
      </c>
      <c r="AB16" s="29">
        <f t="shared" si="10"/>
        <v>-1.9154645051449704E-2</v>
      </c>
      <c r="AC16" s="29">
        <f t="shared" si="11"/>
        <v>-3.8441200457007829E-3</v>
      </c>
      <c r="AD16" s="29">
        <f t="shared" si="12"/>
        <v>0.13651190932911428</v>
      </c>
      <c r="AE16" s="29">
        <f t="shared" si="13"/>
        <v>-4.0579602309790963E-2</v>
      </c>
      <c r="AF16" s="29">
        <f t="shared" si="14"/>
        <v>4.097051202377533E-2</v>
      </c>
      <c r="AG16" s="29">
        <f t="shared" si="15"/>
        <v>-1.0472368598623771E-2</v>
      </c>
      <c r="AH16" s="29">
        <f t="shared" si="16"/>
        <v>-5.3080817737312103E-3</v>
      </c>
      <c r="AI16" s="29">
        <f t="shared" si="17"/>
        <v>-0.10921373664469181</v>
      </c>
      <c r="AJ16" s="29">
        <f t="shared" si="18"/>
        <v>-0.2401686343338314</v>
      </c>
      <c r="AK16" s="29">
        <f t="shared" si="18"/>
        <v>0.63453640845315595</v>
      </c>
      <c r="AL16" s="29">
        <f t="shared" si="18"/>
        <v>0.13756078752506995</v>
      </c>
      <c r="AM16" s="29">
        <f t="shared" si="18"/>
        <v>-7.8390829157091613E-2</v>
      </c>
      <c r="AN16" s="29">
        <f t="shared" si="18"/>
        <v>8.1036698574910471E-2</v>
      </c>
      <c r="AO16" s="29">
        <f t="shared" si="18"/>
        <v>4.0702574466352059E-2</v>
      </c>
      <c r="AQ16" s="148"/>
      <c r="AR16" s="2"/>
    </row>
    <row r="17" spans="2:44" x14ac:dyDescent="0.2">
      <c r="B17" s="23" t="s">
        <v>25</v>
      </c>
      <c r="C17" s="2">
        <f t="shared" ref="C17:I17" si="22">+C18+C19</f>
        <v>1227.61225577</v>
      </c>
      <c r="D17" s="2">
        <f t="shared" si="22"/>
        <v>3335.9442347200002</v>
      </c>
      <c r="E17" s="2">
        <f t="shared" si="22"/>
        <v>4505.5966004299989</v>
      </c>
      <c r="F17" s="2">
        <f t="shared" si="22"/>
        <v>4074.1384147499998</v>
      </c>
      <c r="G17" s="2">
        <f t="shared" si="22"/>
        <v>3696.2694011599997</v>
      </c>
      <c r="H17" s="2">
        <f t="shared" si="22"/>
        <v>3659.3512881000006</v>
      </c>
      <c r="I17" s="2">
        <f t="shared" si="22"/>
        <v>3571.9516512500004</v>
      </c>
      <c r="J17" s="2">
        <f t="shared" ref="J17:O17" si="23">+J18+J19+J20</f>
        <v>4487.1906066600004</v>
      </c>
      <c r="K17" s="2">
        <f t="shared" si="23"/>
        <v>4489.0824454399999</v>
      </c>
      <c r="L17" s="2">
        <f t="shared" si="23"/>
        <v>4099.1887978800005</v>
      </c>
      <c r="M17" s="2">
        <f t="shared" si="23"/>
        <v>4637.1622766900009</v>
      </c>
      <c r="N17" s="2">
        <f t="shared" si="23"/>
        <v>5225.2191537899998</v>
      </c>
      <c r="O17" s="2">
        <f t="shared" si="23"/>
        <v>5048.1329258899996</v>
      </c>
      <c r="P17" s="2">
        <f t="shared" ref="P17:V17" si="24">+P18+P19+P20</f>
        <v>5034.1973934899997</v>
      </c>
      <c r="Q17" s="2">
        <f t="shared" si="24"/>
        <v>4959.1629265400006</v>
      </c>
      <c r="R17" s="2">
        <f t="shared" si="24"/>
        <v>5796.8161823700002</v>
      </c>
      <c r="S17" s="2">
        <f t="shared" si="24"/>
        <v>4380.8372752999994</v>
      </c>
      <c r="T17" s="2">
        <f t="shared" si="24"/>
        <v>4988.6283467100002</v>
      </c>
      <c r="U17" s="2">
        <f t="shared" si="24"/>
        <v>4707.1437483400005</v>
      </c>
      <c r="V17" s="2">
        <f t="shared" si="24"/>
        <v>4301.6249780900007</v>
      </c>
      <c r="W17" s="29">
        <f t="shared" si="5"/>
        <v>1.7174250004758895</v>
      </c>
      <c r="X17" s="29">
        <f t="shared" si="6"/>
        <v>0.35062107859491021</v>
      </c>
      <c r="Y17" s="29">
        <f t="shared" si="7"/>
        <v>-9.5760500538113469E-2</v>
      </c>
      <c r="Z17" s="29">
        <f t="shared" si="8"/>
        <v>-9.2748202226503706E-2</v>
      </c>
      <c r="AA17" s="29">
        <f t="shared" si="9"/>
        <v>-9.9879389333508151E-3</v>
      </c>
      <c r="AB17" s="29">
        <f t="shared" si="10"/>
        <v>-2.388391547272839E-2</v>
      </c>
      <c r="AC17" s="29">
        <f t="shared" si="11"/>
        <v>0.25622937955773084</v>
      </c>
      <c r="AD17" s="29">
        <f t="shared" si="12"/>
        <v>4.2160874048713382E-4</v>
      </c>
      <c r="AE17" s="29">
        <f t="shared" si="13"/>
        <v>-8.685375069376422E-2</v>
      </c>
      <c r="AF17" s="29">
        <f t="shared" si="14"/>
        <v>0.13123900979828673</v>
      </c>
      <c r="AG17" s="29">
        <f t="shared" si="15"/>
        <v>0.12681395258820949</v>
      </c>
      <c r="AH17" s="29">
        <f t="shared" si="16"/>
        <v>-3.3890679546245361E-2</v>
      </c>
      <c r="AI17" s="29">
        <f t="shared" si="17"/>
        <v>-2.7605319837220588E-3</v>
      </c>
      <c r="AJ17" s="29">
        <f t="shared" si="18"/>
        <v>-1.4904951293135738E-2</v>
      </c>
      <c r="AK17" s="29">
        <f t="shared" si="18"/>
        <v>0.16891021090416736</v>
      </c>
      <c r="AL17" s="29">
        <f t="shared" si="18"/>
        <v>-0.24426838156028685</v>
      </c>
      <c r="AM17" s="29">
        <f t="shared" si="18"/>
        <v>0.13873856370718074</v>
      </c>
      <c r="AN17" s="29">
        <f t="shared" si="18"/>
        <v>-5.6425249348478479E-2</v>
      </c>
      <c r="AO17" s="29">
        <f t="shared" si="18"/>
        <v>-8.614964656497015E-2</v>
      </c>
      <c r="AQ17" s="148"/>
      <c r="AR17" s="2"/>
    </row>
    <row r="18" spans="2:44" x14ac:dyDescent="0.2">
      <c r="B18" s="24" t="s">
        <v>37</v>
      </c>
      <c r="C18" s="2">
        <v>1227.61225577</v>
      </c>
      <c r="D18" s="2">
        <v>159.84548358000001</v>
      </c>
      <c r="E18" s="2">
        <v>144.20637008</v>
      </c>
      <c r="F18" s="2">
        <v>131.05832221</v>
      </c>
      <c r="G18" s="2">
        <v>145.97710827</v>
      </c>
      <c r="H18" s="2">
        <v>149.86015950000001</v>
      </c>
      <c r="I18" s="2">
        <v>149.64788071999999</v>
      </c>
      <c r="J18" s="2">
        <v>150.05005597000002</v>
      </c>
      <c r="K18" s="2">
        <v>162.66499049999999</v>
      </c>
      <c r="L18" s="2">
        <v>142.87788</v>
      </c>
      <c r="M18" s="2">
        <v>168.01961792999998</v>
      </c>
      <c r="N18" s="2">
        <v>184.94476799999998</v>
      </c>
      <c r="O18" s="2">
        <v>178.54046249999999</v>
      </c>
      <c r="P18" s="2">
        <v>170.99630550000001</v>
      </c>
      <c r="Q18" s="2">
        <v>181.646208</v>
      </c>
      <c r="R18" s="2">
        <v>188.44083000000003</v>
      </c>
      <c r="S18" s="2">
        <v>133.98590849999999</v>
      </c>
      <c r="T18" s="2">
        <v>181.90817249999998</v>
      </c>
      <c r="U18" s="2">
        <v>177.0942135</v>
      </c>
      <c r="V18" s="2">
        <v>156.92074499999998</v>
      </c>
      <c r="W18" s="29">
        <f t="shared" si="5"/>
        <v>-0.8697915544352891</v>
      </c>
      <c r="X18" s="29">
        <f t="shared" si="6"/>
        <v>-9.7838945147129541E-2</v>
      </c>
      <c r="Y18" s="29">
        <f t="shared" si="7"/>
        <v>-9.1175222444792037E-2</v>
      </c>
      <c r="Z18" s="29">
        <f t="shared" si="8"/>
        <v>0.11383318364243245</v>
      </c>
      <c r="AA18" s="29">
        <f t="shared" si="9"/>
        <v>2.6600412051031253E-2</v>
      </c>
      <c r="AB18" s="29">
        <f t="shared" si="10"/>
        <v>-1.4165124387179873E-3</v>
      </c>
      <c r="AC18" s="29">
        <f t="shared" si="11"/>
        <v>2.6874770833040795E-3</v>
      </c>
      <c r="AD18" s="29">
        <f t="shared" si="12"/>
        <v>8.4071508327341782E-2</v>
      </c>
      <c r="AE18" s="29">
        <f t="shared" si="13"/>
        <v>-0.12164332619562646</v>
      </c>
      <c r="AF18" s="29">
        <f t="shared" si="14"/>
        <v>0.17596662219512194</v>
      </c>
      <c r="AG18" s="29">
        <f t="shared" si="15"/>
        <v>0.10073317793789616</v>
      </c>
      <c r="AH18" s="29">
        <f t="shared" si="16"/>
        <v>-3.4628205865223416E-2</v>
      </c>
      <c r="AI18" s="29">
        <f t="shared" si="17"/>
        <v>-4.2254606571325404E-2</v>
      </c>
      <c r="AJ18" s="29">
        <f t="shared" si="18"/>
        <v>6.2281477186651779E-2</v>
      </c>
      <c r="AK18" s="29">
        <f t="shared" si="18"/>
        <v>3.7405801501785518E-2</v>
      </c>
      <c r="AL18" s="29">
        <f t="shared" si="18"/>
        <v>-0.28897623460902833</v>
      </c>
      <c r="AM18" s="29">
        <f t="shared" si="18"/>
        <v>0.35766644818473559</v>
      </c>
      <c r="AN18" s="29">
        <f t="shared" si="18"/>
        <v>-2.6463676336476727E-2</v>
      </c>
      <c r="AO18" s="29">
        <f t="shared" si="18"/>
        <v>-0.1139137643252246</v>
      </c>
      <c r="AR18" s="2"/>
    </row>
    <row r="19" spans="2:44" x14ac:dyDescent="0.2">
      <c r="B19" s="24" t="s">
        <v>38</v>
      </c>
      <c r="C19" s="2">
        <v>0</v>
      </c>
      <c r="D19" s="2">
        <v>3176.0987511400003</v>
      </c>
      <c r="E19" s="2">
        <v>4361.390230349999</v>
      </c>
      <c r="F19" s="2">
        <v>3943.0800925399999</v>
      </c>
      <c r="G19" s="2">
        <v>3550.2922928899998</v>
      </c>
      <c r="H19" s="2">
        <v>3509.4911286000006</v>
      </c>
      <c r="I19" s="2">
        <v>3422.3037705300003</v>
      </c>
      <c r="J19" s="2">
        <v>3839.5545834700001</v>
      </c>
      <c r="K19" s="2">
        <v>2836.4692675299998</v>
      </c>
      <c r="L19" s="2">
        <v>2468.9742556299998</v>
      </c>
      <c r="M19" s="2">
        <v>2958.7263877600003</v>
      </c>
      <c r="N19" s="2">
        <v>3404.1110507899998</v>
      </c>
      <c r="O19" s="2">
        <v>3317.9476528899995</v>
      </c>
      <c r="P19" s="2">
        <v>3257.1673707400005</v>
      </c>
      <c r="Q19" s="2">
        <v>3426.7423562899999</v>
      </c>
      <c r="R19" s="2">
        <v>3761.2669646200002</v>
      </c>
      <c r="S19" s="2">
        <v>2794.8654720499999</v>
      </c>
      <c r="T19" s="2">
        <v>3217.5821854600003</v>
      </c>
      <c r="U19" s="2">
        <v>2992.9834935900003</v>
      </c>
      <c r="V19" s="2">
        <v>2589.1833263400003</v>
      </c>
      <c r="W19" s="44" t="e">
        <f t="shared" si="5"/>
        <v>#DIV/0!</v>
      </c>
      <c r="X19" s="29">
        <f t="shared" si="6"/>
        <v>0.37319100320308385</v>
      </c>
      <c r="Y19" s="29">
        <f t="shared" si="7"/>
        <v>-9.5912109606488882E-2</v>
      </c>
      <c r="Z19" s="29">
        <f t="shared" si="8"/>
        <v>-9.961446139354968E-2</v>
      </c>
      <c r="AA19" s="29">
        <f t="shared" si="9"/>
        <v>-1.1492339481937841E-2</v>
      </c>
      <c r="AB19" s="29">
        <f t="shared" si="10"/>
        <v>-2.4843304876733252E-2</v>
      </c>
      <c r="AC19" s="29">
        <f t="shared" si="11"/>
        <v>0.12192103358357986</v>
      </c>
      <c r="AD19" s="29">
        <f t="shared" si="12"/>
        <v>-0.26125043781340418</v>
      </c>
      <c r="AE19" s="29">
        <f t="shared" si="13"/>
        <v>-0.12956072399825969</v>
      </c>
      <c r="AF19" s="29">
        <f t="shared" si="14"/>
        <v>0.19836259167677395</v>
      </c>
      <c r="AG19" s="29">
        <f t="shared" si="15"/>
        <v>0.15053256187274289</v>
      </c>
      <c r="AH19" s="29">
        <f t="shared" si="16"/>
        <v>-2.5311570807892481E-2</v>
      </c>
      <c r="AI19" s="29">
        <f t="shared" si="17"/>
        <v>-1.8318638058396841E-2</v>
      </c>
      <c r="AJ19" s="29">
        <f t="shared" si="18"/>
        <v>5.2062103738768961E-2</v>
      </c>
      <c r="AK19" s="29">
        <f t="shared" si="18"/>
        <v>9.7621756627240819E-2</v>
      </c>
      <c r="AL19" s="29">
        <f t="shared" si="18"/>
        <v>-0.25693509704585293</v>
      </c>
      <c r="AM19" s="29">
        <f t="shared" si="18"/>
        <v>0.15124760659765957</v>
      </c>
      <c r="AN19" s="29">
        <f t="shared" si="18"/>
        <v>-6.9803560227596928E-2</v>
      </c>
      <c r="AO19" s="29">
        <f t="shared" si="18"/>
        <v>-0.1349156011434105</v>
      </c>
      <c r="AQ19" s="148"/>
      <c r="AR19" s="2"/>
    </row>
    <row r="20" spans="2:44" x14ac:dyDescent="0.2">
      <c r="B20" s="24" t="s">
        <v>49</v>
      </c>
      <c r="C20" s="2"/>
      <c r="D20" s="2"/>
      <c r="E20" s="2"/>
      <c r="F20" s="2"/>
      <c r="G20" s="2">
        <v>0</v>
      </c>
      <c r="H20" s="2">
        <v>0</v>
      </c>
      <c r="I20" s="2">
        <v>0</v>
      </c>
      <c r="J20" s="2">
        <v>497.58596722000004</v>
      </c>
      <c r="K20" s="2">
        <v>1489.9481874100002</v>
      </c>
      <c r="L20" s="2">
        <v>1487.3366622500002</v>
      </c>
      <c r="M20" s="2">
        <v>1510.4162710000003</v>
      </c>
      <c r="N20" s="2">
        <v>1636.163335</v>
      </c>
      <c r="O20" s="2">
        <v>1551.6448105000002</v>
      </c>
      <c r="P20" s="2">
        <v>1606.0337172499999</v>
      </c>
      <c r="Q20" s="2">
        <v>1350.7743622500002</v>
      </c>
      <c r="R20" s="2">
        <v>1847.10838775</v>
      </c>
      <c r="S20" s="2">
        <v>1451.9858947499999</v>
      </c>
      <c r="T20" s="2">
        <v>1589.13798875</v>
      </c>
      <c r="U20" s="2">
        <v>1537.0660412499999</v>
      </c>
      <c r="V20" s="2">
        <v>1555.5209067500002</v>
      </c>
      <c r="W20" s="44" t="e">
        <f t="shared" si="5"/>
        <v>#DIV/0!</v>
      </c>
      <c r="X20" s="44" t="e">
        <f t="shared" si="6"/>
        <v>#DIV/0!</v>
      </c>
      <c r="Y20" s="44" t="e">
        <f t="shared" si="7"/>
        <v>#DIV/0!</v>
      </c>
      <c r="Z20" s="44" t="e">
        <f t="shared" si="8"/>
        <v>#DIV/0!</v>
      </c>
      <c r="AA20" s="44" t="e">
        <f t="shared" si="9"/>
        <v>#DIV/0!</v>
      </c>
      <c r="AB20" s="44" t="e">
        <f t="shared" si="10"/>
        <v>#DIV/0!</v>
      </c>
      <c r="AC20" s="44" t="e">
        <f t="shared" si="11"/>
        <v>#DIV/0!</v>
      </c>
      <c r="AD20" s="29">
        <f t="shared" si="12"/>
        <v>1.9943533089051972</v>
      </c>
      <c r="AE20" s="29">
        <f t="shared" si="13"/>
        <v>-1.7527623994358921E-3</v>
      </c>
      <c r="AF20" s="29">
        <f t="shared" si="14"/>
        <v>1.55174072795905E-2</v>
      </c>
      <c r="AG20" s="29">
        <f t="shared" si="15"/>
        <v>8.3253250388216848E-2</v>
      </c>
      <c r="AH20" s="29">
        <f t="shared" si="16"/>
        <v>-5.1656532506273112E-2</v>
      </c>
      <c r="AI20" s="29">
        <f t="shared" si="17"/>
        <v>3.5052420748581836E-2</v>
      </c>
      <c r="AJ20" s="29">
        <f t="shared" si="18"/>
        <v>-0.15893773104407705</v>
      </c>
      <c r="AK20" s="29">
        <f t="shared" si="18"/>
        <v>0.36744406717436551</v>
      </c>
      <c r="AL20" s="29">
        <f t="shared" si="18"/>
        <v>-0.21391408085223773</v>
      </c>
      <c r="AM20" s="29">
        <f t="shared" si="18"/>
        <v>9.4458282615489608E-2</v>
      </c>
      <c r="AN20" s="29">
        <f t="shared" si="18"/>
        <v>-3.2767417221558848E-2</v>
      </c>
      <c r="AO20" s="29">
        <f t="shared" si="18"/>
        <v>1.2006553397661435E-2</v>
      </c>
      <c r="AQ20" s="148"/>
      <c r="AR20" s="2"/>
    </row>
    <row r="21" spans="2:44" x14ac:dyDescent="0.2">
      <c r="B21" s="23" t="s">
        <v>26</v>
      </c>
      <c r="C21" s="2">
        <f t="shared" ref="C21:O21" si="25">+C22+C23</f>
        <v>573189.69576259004</v>
      </c>
      <c r="D21" s="2">
        <f t="shared" si="25"/>
        <v>710103.81941273995</v>
      </c>
      <c r="E21" s="2">
        <f t="shared" si="25"/>
        <v>864930.92727026995</v>
      </c>
      <c r="F21" s="2">
        <f t="shared" si="25"/>
        <v>755330.18454975996</v>
      </c>
      <c r="G21" s="2">
        <f t="shared" si="25"/>
        <v>837899.81604855007</v>
      </c>
      <c r="H21" s="2">
        <f t="shared" si="25"/>
        <v>935509.87080624001</v>
      </c>
      <c r="I21" s="2">
        <f t="shared" si="25"/>
        <v>1024725.4227979102</v>
      </c>
      <c r="J21" s="2">
        <f t="shared" si="25"/>
        <v>1063180.0423876401</v>
      </c>
      <c r="K21" s="2">
        <f t="shared" si="25"/>
        <v>1151274.5283516999</v>
      </c>
      <c r="L21" s="2">
        <f t="shared" si="25"/>
        <v>1205435.6351637901</v>
      </c>
      <c r="M21" s="2">
        <f t="shared" si="25"/>
        <v>1290894.0879561401</v>
      </c>
      <c r="N21" s="2">
        <f t="shared" si="25"/>
        <v>1331240.2810963201</v>
      </c>
      <c r="O21" s="2">
        <f t="shared" si="25"/>
        <v>1358016.1185304499</v>
      </c>
      <c r="P21" s="2">
        <f t="shared" ref="P21:V21" si="26">+P22+P23</f>
        <v>1478854.3726460699</v>
      </c>
      <c r="Q21" s="2">
        <f t="shared" si="26"/>
        <v>1400185.5459229499</v>
      </c>
      <c r="R21" s="2">
        <f t="shared" si="26"/>
        <v>1830892.8056562098</v>
      </c>
      <c r="S21" s="2">
        <f t="shared" si="26"/>
        <v>1995031.27449158</v>
      </c>
      <c r="T21" s="2">
        <f t="shared" si="26"/>
        <v>2086809.23433092</v>
      </c>
      <c r="U21" s="2">
        <f t="shared" si="26"/>
        <v>2200902.8496783497</v>
      </c>
      <c r="V21" s="2">
        <f t="shared" si="26"/>
        <v>2201424.1682666</v>
      </c>
      <c r="W21" s="29">
        <f t="shared" si="5"/>
        <v>0.23886354667976883</v>
      </c>
      <c r="X21" s="29">
        <f t="shared" si="6"/>
        <v>0.21803446710872909</v>
      </c>
      <c r="Y21" s="29">
        <f t="shared" si="7"/>
        <v>-0.1267161795987698</v>
      </c>
      <c r="Z21" s="29">
        <f t="shared" si="8"/>
        <v>0.1093159431302333</v>
      </c>
      <c r="AA21" s="29">
        <f t="shared" si="9"/>
        <v>0.11649370591583241</v>
      </c>
      <c r="AB21" s="29">
        <f t="shared" si="10"/>
        <v>9.5365698188499604E-2</v>
      </c>
      <c r="AC21" s="29">
        <f t="shared" si="11"/>
        <v>3.7526754713212318E-2</v>
      </c>
      <c r="AD21" s="29">
        <f t="shared" si="12"/>
        <v>8.2859424040937935E-2</v>
      </c>
      <c r="AE21" s="29">
        <f t="shared" si="13"/>
        <v>4.7044475907612959E-2</v>
      </c>
      <c r="AF21" s="29">
        <f t="shared" si="14"/>
        <v>7.0894247937790755E-2</v>
      </c>
      <c r="AG21" s="29">
        <f t="shared" si="15"/>
        <v>3.1254456517079365E-2</v>
      </c>
      <c r="AH21" s="29">
        <f t="shared" si="16"/>
        <v>2.0113451954803407E-2</v>
      </c>
      <c r="AI21" s="29">
        <f t="shared" si="17"/>
        <v>8.8981457927305385E-2</v>
      </c>
      <c r="AJ21" s="29">
        <f t="shared" si="18"/>
        <v>-5.3195790050889258E-2</v>
      </c>
      <c r="AK21" s="29">
        <f t="shared" si="18"/>
        <v>0.30760727461256132</v>
      </c>
      <c r="AL21" s="29">
        <f t="shared" si="18"/>
        <v>8.9649414934776184E-2</v>
      </c>
      <c r="AM21" s="29">
        <f t="shared" si="18"/>
        <v>4.6003268727067503E-2</v>
      </c>
      <c r="AN21" s="29">
        <f t="shared" si="18"/>
        <v>5.4673715963314162E-2</v>
      </c>
      <c r="AO21" s="29">
        <f t="shared" si="18"/>
        <v>2.3686578820436566E-4</v>
      </c>
      <c r="AQ21" s="148"/>
      <c r="AR21" s="2"/>
    </row>
    <row r="22" spans="2:44" x14ac:dyDescent="0.2">
      <c r="B22" s="24" t="s">
        <v>27</v>
      </c>
      <c r="C22" s="2">
        <v>282978.57384758</v>
      </c>
      <c r="D22" s="2">
        <v>336943.38574894</v>
      </c>
      <c r="E22" s="2">
        <v>404492.50891062</v>
      </c>
      <c r="F22" s="2">
        <v>412571.81234000996</v>
      </c>
      <c r="G22" s="2">
        <v>443485.96312182007</v>
      </c>
      <c r="H22" s="2">
        <v>475517.09497440001</v>
      </c>
      <c r="I22" s="2">
        <v>530108.29920920008</v>
      </c>
      <c r="J22" s="2">
        <v>563772.21354791999</v>
      </c>
      <c r="K22" s="2">
        <v>585816.33870026993</v>
      </c>
      <c r="L22" s="2">
        <v>624435.79062392004</v>
      </c>
      <c r="M22" s="2">
        <v>674961.71941135009</v>
      </c>
      <c r="N22" s="2">
        <v>688452.95036908018</v>
      </c>
      <c r="O22" s="2">
        <v>706909.07164653996</v>
      </c>
      <c r="P22" s="2">
        <v>856725.57025104982</v>
      </c>
      <c r="Q22" s="2">
        <v>886365.86032706988</v>
      </c>
      <c r="R22" s="2">
        <v>1077294.7007736298</v>
      </c>
      <c r="S22" s="2">
        <v>1228053.62481858</v>
      </c>
      <c r="T22" s="2">
        <v>1299131.29692326</v>
      </c>
      <c r="U22" s="2">
        <v>1366571.7109906098</v>
      </c>
      <c r="V22" s="2">
        <v>1343410.6433556902</v>
      </c>
      <c r="W22" s="29">
        <f t="shared" si="5"/>
        <v>0.19070281953723778</v>
      </c>
      <c r="X22" s="29">
        <f t="shared" si="6"/>
        <v>0.20047618092141906</v>
      </c>
      <c r="Y22" s="29">
        <f t="shared" si="7"/>
        <v>1.9973925972446738E-2</v>
      </c>
      <c r="Z22" s="29">
        <f t="shared" si="8"/>
        <v>7.4930351170799492E-2</v>
      </c>
      <c r="AA22" s="29">
        <f t="shared" si="9"/>
        <v>7.2225807615429183E-2</v>
      </c>
      <c r="AB22" s="29">
        <f t="shared" si="10"/>
        <v>0.11480387311362383</v>
      </c>
      <c r="AC22" s="29">
        <f t="shared" si="11"/>
        <v>6.3503843250405145E-2</v>
      </c>
      <c r="AD22" s="29">
        <f t="shared" si="12"/>
        <v>3.910112031528179E-2</v>
      </c>
      <c r="AE22" s="29">
        <f t="shared" si="13"/>
        <v>6.5924163210151709E-2</v>
      </c>
      <c r="AF22" s="29">
        <f t="shared" si="14"/>
        <v>8.0914530438663368E-2</v>
      </c>
      <c r="AG22" s="29">
        <f t="shared" si="15"/>
        <v>1.9988142393462027E-2</v>
      </c>
      <c r="AH22" s="29">
        <f t="shared" si="16"/>
        <v>2.6808108335602876E-2</v>
      </c>
      <c r="AI22" s="29">
        <f t="shared" si="17"/>
        <v>0.21193178106422605</v>
      </c>
      <c r="AJ22" s="29">
        <f t="shared" si="18"/>
        <v>3.4597181530760635E-2</v>
      </c>
      <c r="AK22" s="29">
        <f t="shared" si="18"/>
        <v>0.21540635644078954</v>
      </c>
      <c r="AL22" s="29">
        <f t="shared" si="18"/>
        <v>0.13994213833660063</v>
      </c>
      <c r="AM22" s="29">
        <f t="shared" si="18"/>
        <v>5.7878313021697547E-2</v>
      </c>
      <c r="AN22" s="29">
        <f t="shared" si="18"/>
        <v>5.1911930862622802E-2</v>
      </c>
      <c r="AO22" s="29">
        <f t="shared" si="18"/>
        <v>-1.6948300223579515E-2</v>
      </c>
      <c r="AQ22" s="148"/>
      <c r="AR22" s="2"/>
    </row>
    <row r="23" spans="2:44" x14ac:dyDescent="0.2">
      <c r="B23" s="24" t="s">
        <v>28</v>
      </c>
      <c r="C23" s="2">
        <v>290211.12191501004</v>
      </c>
      <c r="D23" s="2">
        <v>373160.43366380001</v>
      </c>
      <c r="E23" s="2">
        <v>460438.41835964995</v>
      </c>
      <c r="F23" s="2">
        <v>342758.37220975</v>
      </c>
      <c r="G23" s="2">
        <v>394413.85292673</v>
      </c>
      <c r="H23" s="2">
        <v>459992.77583183994</v>
      </c>
      <c r="I23" s="2">
        <v>494617.12358871003</v>
      </c>
      <c r="J23" s="2">
        <v>499407.82883971999</v>
      </c>
      <c r="K23" s="2">
        <v>565458.18965142989</v>
      </c>
      <c r="L23" s="2">
        <v>580999.84453987004</v>
      </c>
      <c r="M23" s="2">
        <v>615932.36854478996</v>
      </c>
      <c r="N23" s="2">
        <v>642787.33072723995</v>
      </c>
      <c r="O23" s="2">
        <v>651107.04688390996</v>
      </c>
      <c r="P23" s="2">
        <v>622128.80239502003</v>
      </c>
      <c r="Q23" s="2">
        <v>513819.68559588003</v>
      </c>
      <c r="R23" s="2">
        <v>753598.10488258</v>
      </c>
      <c r="S23" s="2">
        <v>766977.64967299998</v>
      </c>
      <c r="T23" s="2">
        <v>787677.93740766007</v>
      </c>
      <c r="U23" s="2">
        <v>834331.13868773985</v>
      </c>
      <c r="V23" s="2">
        <v>858013.52491090982</v>
      </c>
      <c r="W23" s="29">
        <f t="shared" si="5"/>
        <v>0.28582402769898718</v>
      </c>
      <c r="X23" s="29">
        <f t="shared" si="6"/>
        <v>0.23388863561693496</v>
      </c>
      <c r="Y23" s="29">
        <f t="shared" si="7"/>
        <v>-0.25558259575546471</v>
      </c>
      <c r="Z23" s="29">
        <f t="shared" si="8"/>
        <v>0.15070523408067071</v>
      </c>
      <c r="AA23" s="29">
        <f t="shared" si="9"/>
        <v>0.16626931944323076</v>
      </c>
      <c r="AB23" s="29">
        <f t="shared" si="10"/>
        <v>7.5271503327973388E-2</v>
      </c>
      <c r="AC23" s="29">
        <f t="shared" si="11"/>
        <v>9.6856841838608432E-3</v>
      </c>
      <c r="AD23" s="29">
        <f t="shared" si="12"/>
        <v>0.13225735961161345</v>
      </c>
      <c r="AE23" s="29">
        <f t="shared" si="13"/>
        <v>2.7485064630544453E-2</v>
      </c>
      <c r="AF23" s="29">
        <f t="shared" si="14"/>
        <v>6.0124842258064914E-2</v>
      </c>
      <c r="AG23" s="29">
        <f t="shared" si="15"/>
        <v>4.3600504785773708E-2</v>
      </c>
      <c r="AH23" s="29">
        <f t="shared" si="16"/>
        <v>1.2943186274777974E-2</v>
      </c>
      <c r="AI23" s="29">
        <f t="shared" si="17"/>
        <v>-4.4506114052328294E-2</v>
      </c>
      <c r="AJ23" s="29">
        <f t="shared" si="18"/>
        <v>-0.17409436178196624</v>
      </c>
      <c r="AK23" s="29">
        <f t="shared" si="18"/>
        <v>0.46665868593303772</v>
      </c>
      <c r="AL23" s="29">
        <f t="shared" si="18"/>
        <v>1.7754217670842953E-2</v>
      </c>
      <c r="AM23" s="29">
        <f t="shared" si="18"/>
        <v>2.6989427584344305E-2</v>
      </c>
      <c r="AN23" s="29">
        <f t="shared" si="18"/>
        <v>5.9228777479309436E-2</v>
      </c>
      <c r="AO23" s="29">
        <f t="shared" si="18"/>
        <v>2.8384876369852652E-2</v>
      </c>
      <c r="AQ23" s="148"/>
      <c r="AR23" s="2"/>
    </row>
    <row r="24" spans="2:44" x14ac:dyDescent="0.2">
      <c r="B24" s="23" t="s">
        <v>29</v>
      </c>
      <c r="C24" s="2">
        <f t="shared" ref="C24:O24" si="27">+C25+C26</f>
        <v>101583.62198383</v>
      </c>
      <c r="D24" s="2">
        <f t="shared" si="27"/>
        <v>136476.33102009998</v>
      </c>
      <c r="E24" s="2">
        <f t="shared" si="27"/>
        <v>153800.87990442</v>
      </c>
      <c r="F24" s="2">
        <f t="shared" si="27"/>
        <v>106061.70454395001</v>
      </c>
      <c r="G24" s="2">
        <f t="shared" si="27"/>
        <v>132810.24748873999</v>
      </c>
      <c r="H24" s="2">
        <f t="shared" si="27"/>
        <v>159395.32590176002</v>
      </c>
      <c r="I24" s="2">
        <f t="shared" si="27"/>
        <v>172189.42169080998</v>
      </c>
      <c r="J24" s="2">
        <f t="shared" si="27"/>
        <v>161692.64894469001</v>
      </c>
      <c r="K24" s="2">
        <f t="shared" si="27"/>
        <v>178643.21459543001</v>
      </c>
      <c r="L24" s="2">
        <f t="shared" si="27"/>
        <v>205106.15826846001</v>
      </c>
      <c r="M24" s="2">
        <f t="shared" si="27"/>
        <v>235943.20112757001</v>
      </c>
      <c r="N24" s="2">
        <f t="shared" si="27"/>
        <v>225957.73684435</v>
      </c>
      <c r="O24" s="2">
        <f t="shared" si="27"/>
        <v>205185.15919080001</v>
      </c>
      <c r="P24" s="2">
        <f t="shared" ref="P24:V24" si="28">+P25+P26</f>
        <v>182735.56196345997</v>
      </c>
      <c r="Q24" s="2">
        <f t="shared" si="28"/>
        <v>118318.40509665001</v>
      </c>
      <c r="R24" s="2">
        <f t="shared" si="28"/>
        <v>189040.14722897997</v>
      </c>
      <c r="S24" s="2">
        <f t="shared" si="28"/>
        <v>195399.64235705</v>
      </c>
      <c r="T24" s="2">
        <f t="shared" si="28"/>
        <v>251324.92931099</v>
      </c>
      <c r="U24" s="2">
        <f t="shared" si="28"/>
        <v>297642.93752441998</v>
      </c>
      <c r="V24" s="2">
        <f t="shared" si="28"/>
        <v>272770.35248934</v>
      </c>
      <c r="W24" s="29">
        <f t="shared" si="5"/>
        <v>0.34348754607139509</v>
      </c>
      <c r="X24" s="29">
        <f t="shared" si="6"/>
        <v>0.12694178363989339</v>
      </c>
      <c r="Y24" s="29">
        <f t="shared" si="7"/>
        <v>-0.31039598336587959</v>
      </c>
      <c r="Z24" s="29">
        <f t="shared" si="8"/>
        <v>0.25219793571869165</v>
      </c>
      <c r="AA24" s="29">
        <f t="shared" si="9"/>
        <v>0.20017339712640769</v>
      </c>
      <c r="AB24" s="29">
        <f t="shared" si="10"/>
        <v>8.026644267433114E-2</v>
      </c>
      <c r="AC24" s="29">
        <f t="shared" si="11"/>
        <v>-6.0960613277210363E-2</v>
      </c>
      <c r="AD24" s="29">
        <f t="shared" si="12"/>
        <v>0.10483201160578592</v>
      </c>
      <c r="AE24" s="29">
        <f t="shared" si="13"/>
        <v>0.14813293487222645</v>
      </c>
      <c r="AF24" s="29">
        <f t="shared" si="14"/>
        <v>0.150346742971744</v>
      </c>
      <c r="AG24" s="29">
        <f t="shared" si="15"/>
        <v>-4.232147497999339E-2</v>
      </c>
      <c r="AH24" s="29">
        <f t="shared" si="16"/>
        <v>-9.1931252028157329E-2</v>
      </c>
      <c r="AI24" s="29">
        <f t="shared" si="17"/>
        <v>-0.10941140829032547</v>
      </c>
      <c r="AJ24" s="29">
        <f t="shared" si="18"/>
        <v>-0.35251571273078686</v>
      </c>
      <c r="AK24" s="29">
        <f t="shared" si="18"/>
        <v>0.59772393039409155</v>
      </c>
      <c r="AL24" s="29">
        <f t="shared" si="18"/>
        <v>3.3640976381418719E-2</v>
      </c>
      <c r="AM24" s="29">
        <f t="shared" si="18"/>
        <v>0.28620977131446734</v>
      </c>
      <c r="AN24" s="29">
        <f t="shared" si="18"/>
        <v>0.18429531976955604</v>
      </c>
      <c r="AO24" s="29">
        <f t="shared" si="18"/>
        <v>-8.356517793417928E-2</v>
      </c>
      <c r="AQ24" s="148"/>
      <c r="AR24" s="2"/>
    </row>
    <row r="25" spans="2:44" x14ac:dyDescent="0.2">
      <c r="B25" s="24" t="s">
        <v>27</v>
      </c>
      <c r="C25" s="2">
        <v>15807.67806796</v>
      </c>
      <c r="D25" s="2">
        <v>18426.031619440004</v>
      </c>
      <c r="E25" s="2">
        <v>21312.602333529998</v>
      </c>
      <c r="F25" s="2">
        <v>22742.307792669999</v>
      </c>
      <c r="G25" s="2">
        <v>22926.056988789998</v>
      </c>
      <c r="H25" s="2">
        <v>24331.389069850004</v>
      </c>
      <c r="I25" s="2">
        <v>23647.299911419999</v>
      </c>
      <c r="J25" s="2">
        <v>20164.41650761</v>
      </c>
      <c r="K25" s="2">
        <v>19397.135496669998</v>
      </c>
      <c r="L25" s="2">
        <v>19827.354819780005</v>
      </c>
      <c r="M25" s="2">
        <v>20452.932024199996</v>
      </c>
      <c r="N25" s="2">
        <v>20585.656504250001</v>
      </c>
      <c r="O25" s="2">
        <v>17820.766867110004</v>
      </c>
      <c r="P25" s="2">
        <v>9177.5080493700007</v>
      </c>
      <c r="Q25" s="2">
        <v>6999.3441309999998</v>
      </c>
      <c r="R25" s="2">
        <v>9260.7438459999994</v>
      </c>
      <c r="S25" s="2">
        <v>10297.599289</v>
      </c>
      <c r="T25" s="2">
        <v>10346.945874999999</v>
      </c>
      <c r="U25" s="2">
        <v>11145.176476000001</v>
      </c>
      <c r="V25" s="2">
        <v>9669.2069699999993</v>
      </c>
      <c r="W25" s="29">
        <f t="shared" si="5"/>
        <v>0.16563808677170933</v>
      </c>
      <c r="X25" s="29">
        <f t="shared" si="6"/>
        <v>0.1566572105002022</v>
      </c>
      <c r="Y25" s="29">
        <f t="shared" si="7"/>
        <v>6.7082631992373853E-2</v>
      </c>
      <c r="Z25" s="29">
        <f t="shared" si="8"/>
        <v>8.079619614471234E-3</v>
      </c>
      <c r="AA25" s="29">
        <f t="shared" si="9"/>
        <v>6.1298464090321358E-2</v>
      </c>
      <c r="AB25" s="29">
        <f t="shared" si="10"/>
        <v>-2.8115499549414835E-2</v>
      </c>
      <c r="AC25" s="29">
        <f t="shared" si="11"/>
        <v>-0.14728461248668856</v>
      </c>
      <c r="AD25" s="29">
        <f t="shared" si="12"/>
        <v>-3.8051237964184637E-2</v>
      </c>
      <c r="AE25" s="29">
        <f t="shared" si="13"/>
        <v>2.2179528682668925E-2</v>
      </c>
      <c r="AF25" s="29">
        <f t="shared" si="14"/>
        <v>3.1551218511301826E-2</v>
      </c>
      <c r="AG25" s="29">
        <f t="shared" si="15"/>
        <v>6.4892642234846143E-3</v>
      </c>
      <c r="AH25" s="29">
        <f t="shared" si="16"/>
        <v>-0.13431146276870853</v>
      </c>
      <c r="AI25" s="29">
        <f t="shared" si="17"/>
        <v>-0.48501048704542538</v>
      </c>
      <c r="AJ25" s="29">
        <f t="shared" si="18"/>
        <v>-0.23733718419560779</v>
      </c>
      <c r="AK25" s="29">
        <f t="shared" si="18"/>
        <v>0.32308737399898524</v>
      </c>
      <c r="AL25" s="29">
        <f t="shared" si="18"/>
        <v>0.1119624363055729</v>
      </c>
      <c r="AM25" s="29">
        <f t="shared" si="18"/>
        <v>4.7920476040188564E-3</v>
      </c>
      <c r="AN25" s="29">
        <f t="shared" si="18"/>
        <v>7.7146494303083513E-2</v>
      </c>
      <c r="AO25" s="29">
        <f t="shared" si="18"/>
        <v>-0.13243123688335945</v>
      </c>
      <c r="AQ25" s="148"/>
      <c r="AR25" s="2"/>
    </row>
    <row r="26" spans="2:44" x14ac:dyDescent="0.2">
      <c r="B26" s="24" t="s">
        <v>28</v>
      </c>
      <c r="C26" s="2">
        <v>85775.943915869997</v>
      </c>
      <c r="D26" s="2">
        <v>118050.29940065999</v>
      </c>
      <c r="E26" s="2">
        <v>132488.27757089</v>
      </c>
      <c r="F26" s="2">
        <v>83319.396751280001</v>
      </c>
      <c r="G26" s="2">
        <v>109884.19049995</v>
      </c>
      <c r="H26" s="2">
        <v>135063.93683191002</v>
      </c>
      <c r="I26" s="2">
        <v>148542.12177938997</v>
      </c>
      <c r="J26" s="2">
        <v>141528.23243708001</v>
      </c>
      <c r="K26" s="2">
        <v>159246.07909876</v>
      </c>
      <c r="L26" s="2">
        <v>185278.80344868</v>
      </c>
      <c r="M26" s="2">
        <v>215490.26910337</v>
      </c>
      <c r="N26" s="2">
        <v>205372.08034010002</v>
      </c>
      <c r="O26" s="2">
        <v>187364.39232369</v>
      </c>
      <c r="P26" s="2">
        <v>173558.05391408998</v>
      </c>
      <c r="Q26" s="2">
        <v>111319.06096565</v>
      </c>
      <c r="R26" s="2">
        <v>179779.40338297997</v>
      </c>
      <c r="S26" s="2">
        <v>185102.04306805</v>
      </c>
      <c r="T26" s="2">
        <v>240977.98343599</v>
      </c>
      <c r="U26" s="2">
        <v>286497.76104841998</v>
      </c>
      <c r="V26" s="2">
        <v>263101.14551934</v>
      </c>
      <c r="W26" s="29">
        <f t="shared" si="5"/>
        <v>0.37626348380899244</v>
      </c>
      <c r="X26" s="29">
        <f t="shared" si="6"/>
        <v>0.1223036133201818</v>
      </c>
      <c r="Y26" s="29">
        <f t="shared" si="7"/>
        <v>-0.37111872628354903</v>
      </c>
      <c r="Z26" s="29">
        <f t="shared" si="8"/>
        <v>0.31883084593098543</v>
      </c>
      <c r="AA26" s="29">
        <f t="shared" si="9"/>
        <v>0.22914803501211112</v>
      </c>
      <c r="AB26" s="29">
        <f t="shared" si="10"/>
        <v>9.9791145317005281E-2</v>
      </c>
      <c r="AC26" s="29">
        <f t="shared" si="11"/>
        <v>-4.7218184702698451E-2</v>
      </c>
      <c r="AD26" s="29">
        <f t="shared" si="12"/>
        <v>0.12518948591799117</v>
      </c>
      <c r="AE26" s="29">
        <f t="shared" si="13"/>
        <v>0.16347482146656334</v>
      </c>
      <c r="AF26" s="29">
        <f t="shared" si="14"/>
        <v>0.16305948166951656</v>
      </c>
      <c r="AG26" s="29">
        <f t="shared" si="15"/>
        <v>-4.6954272252619944E-2</v>
      </c>
      <c r="AH26" s="29">
        <f t="shared" si="16"/>
        <v>-8.7683233215483547E-2</v>
      </c>
      <c r="AI26" s="29">
        <f t="shared" si="17"/>
        <v>-7.3687098377520077E-2</v>
      </c>
      <c r="AJ26" s="29">
        <f t="shared" si="18"/>
        <v>-0.35860619282610673</v>
      </c>
      <c r="AK26" s="29">
        <f t="shared" si="18"/>
        <v>0.61499209410736011</v>
      </c>
      <c r="AL26" s="29">
        <f t="shared" si="18"/>
        <v>2.9606504332041483E-2</v>
      </c>
      <c r="AM26" s="29">
        <f t="shared" si="18"/>
        <v>0.30186560581288702</v>
      </c>
      <c r="AN26" s="29">
        <f t="shared" si="18"/>
        <v>0.18889600188110633</v>
      </c>
      <c r="AO26" s="29">
        <f t="shared" si="18"/>
        <v>-8.1664217700904818E-2</v>
      </c>
      <c r="AQ26" s="148"/>
      <c r="AR26" s="2"/>
    </row>
    <row r="27" spans="2:44" x14ac:dyDescent="0.2">
      <c r="B27" s="23" t="s">
        <v>32</v>
      </c>
      <c r="C27" s="2">
        <v>294793.47776867991</v>
      </c>
      <c r="D27" s="2">
        <v>357031.36583266</v>
      </c>
      <c r="E27" s="2">
        <v>389324.03341417003</v>
      </c>
      <c r="F27" s="2">
        <v>427288.21684255003</v>
      </c>
      <c r="G27" s="2">
        <f>416790.6877058+33549.6</f>
        <v>450340.28770579997</v>
      </c>
      <c r="H27" s="2">
        <v>470896.27680350997</v>
      </c>
      <c r="I27" s="2">
        <v>519642.28548937989</v>
      </c>
      <c r="J27" s="2">
        <v>613472.68822991999</v>
      </c>
      <c r="K27" s="2">
        <v>641602.55082417</v>
      </c>
      <c r="L27" s="2">
        <v>690117.63413657993</v>
      </c>
      <c r="M27" s="2">
        <v>716111.20854328002</v>
      </c>
      <c r="N27" s="2">
        <v>750143.87180675007</v>
      </c>
      <c r="O27" s="2">
        <v>757695.85741780989</v>
      </c>
      <c r="P27" s="2">
        <v>824934.38271585014</v>
      </c>
      <c r="Q27" s="2">
        <v>649491.69482600992</v>
      </c>
      <c r="R27" s="2">
        <v>847033.63527804986</v>
      </c>
      <c r="S27" s="2">
        <v>893208.25489780004</v>
      </c>
      <c r="T27" s="2">
        <v>1034778.9660152399</v>
      </c>
      <c r="U27" s="2">
        <v>1051604.0710712504</v>
      </c>
      <c r="V27" s="2">
        <v>1058856.2514704699</v>
      </c>
      <c r="W27" s="29">
        <f t="shared" si="5"/>
        <v>0.21112369423864008</v>
      </c>
      <c r="X27" s="29">
        <f t="shared" si="6"/>
        <v>9.0447704800943329E-2</v>
      </c>
      <c r="Y27" s="29">
        <f t="shared" si="7"/>
        <v>9.7513074380365827E-2</v>
      </c>
      <c r="Z27" s="29">
        <f t="shared" si="8"/>
        <v>5.3949699417394248E-2</v>
      </c>
      <c r="AA27" s="29">
        <f t="shared" si="9"/>
        <v>4.5645458909372216E-2</v>
      </c>
      <c r="AB27" s="29">
        <f t="shared" si="10"/>
        <v>0.10351750711804852</v>
      </c>
      <c r="AC27" s="29">
        <f t="shared" si="11"/>
        <v>0.18056729669752358</v>
      </c>
      <c r="AD27" s="29">
        <f t="shared" si="12"/>
        <v>4.5853488075262794E-2</v>
      </c>
      <c r="AE27" s="29">
        <f t="shared" si="13"/>
        <v>7.5615477603837356E-2</v>
      </c>
      <c r="AF27" s="29">
        <f t="shared" si="14"/>
        <v>3.7665425604174185E-2</v>
      </c>
      <c r="AG27" s="29">
        <f t="shared" si="15"/>
        <v>4.7524271171093035E-2</v>
      </c>
      <c r="AH27" s="29">
        <f t="shared" si="16"/>
        <v>1.0067382931317592E-2</v>
      </c>
      <c r="AI27" s="29">
        <f t="shared" si="17"/>
        <v>8.8740785157762181E-2</v>
      </c>
      <c r="AJ27" s="29">
        <f t="shared" si="18"/>
        <v>-0.21267471882096556</v>
      </c>
      <c r="AK27" s="29">
        <f t="shared" si="18"/>
        <v>0.30414852418545357</v>
      </c>
      <c r="AL27" s="29">
        <f t="shared" si="18"/>
        <v>5.4513324733076018E-2</v>
      </c>
      <c r="AM27" s="29">
        <f t="shared" si="18"/>
        <v>0.15849686827361253</v>
      </c>
      <c r="AN27" s="29">
        <f t="shared" si="18"/>
        <v>1.6259612543924273E-2</v>
      </c>
      <c r="AO27" s="29">
        <f t="shared" si="18"/>
        <v>6.8963030847073448E-3</v>
      </c>
      <c r="AQ27" s="148"/>
      <c r="AR27" s="2"/>
    </row>
    <row r="28" spans="2:44" x14ac:dyDescent="0.2">
      <c r="B28" s="23" t="s">
        <v>72</v>
      </c>
      <c r="C28" s="2"/>
      <c r="D28" s="2"/>
      <c r="E28" s="2"/>
      <c r="F28" s="2"/>
      <c r="G28" s="2"/>
      <c r="H28" s="2"/>
      <c r="I28" s="2"/>
      <c r="J28" s="2"/>
      <c r="K28" s="2"/>
      <c r="L28" s="2"/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8623.555123199998</v>
      </c>
      <c r="T28" s="2">
        <v>0</v>
      </c>
      <c r="U28" s="2">
        <v>0</v>
      </c>
      <c r="V28" s="2">
        <v>0</v>
      </c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29"/>
      <c r="AH28" s="29"/>
      <c r="AI28" s="29"/>
      <c r="AJ28" s="29"/>
      <c r="AK28" s="29"/>
      <c r="AL28" s="29"/>
      <c r="AM28" s="29"/>
      <c r="AN28" s="29"/>
      <c r="AO28" s="29"/>
      <c r="AR28" s="2"/>
    </row>
    <row r="29" spans="2:44" x14ac:dyDescent="0.2">
      <c r="B29" s="23" t="s">
        <v>73</v>
      </c>
      <c r="C29" s="2"/>
      <c r="D29" s="2"/>
      <c r="E29" s="2"/>
      <c r="F29" s="2"/>
      <c r="G29" s="2"/>
      <c r="H29" s="2"/>
      <c r="I29" s="2"/>
      <c r="J29" s="2"/>
      <c r="K29" s="2"/>
      <c r="L29" s="2"/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175055.11032978</v>
      </c>
      <c r="T29" s="2">
        <v>1292.4728755699998</v>
      </c>
      <c r="U29" s="2">
        <v>0</v>
      </c>
      <c r="V29" s="2">
        <v>0</v>
      </c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29"/>
      <c r="AI29" s="29"/>
      <c r="AJ29" s="29"/>
      <c r="AK29" s="29"/>
      <c r="AL29" s="29"/>
      <c r="AM29" s="29">
        <f t="shared" si="18"/>
        <v>-0.99261676581086289</v>
      </c>
      <c r="AN29" s="29">
        <f t="shared" si="18"/>
        <v>-1</v>
      </c>
      <c r="AO29" s="44" t="e">
        <f t="shared" si="18"/>
        <v>#DIV/0!</v>
      </c>
      <c r="AR29" s="2"/>
    </row>
    <row r="30" spans="2:44" x14ac:dyDescent="0.2">
      <c r="B30" s="22" t="s">
        <v>33</v>
      </c>
      <c r="C30" s="2">
        <v>29718.5146078</v>
      </c>
      <c r="D30" s="2">
        <v>34567.52656428</v>
      </c>
      <c r="E30" s="2">
        <v>39624.278224859998</v>
      </c>
      <c r="F30" s="2">
        <v>49033.642660339996</v>
      </c>
      <c r="G30" s="2">
        <v>55475.534045889995</v>
      </c>
      <c r="H30" s="2">
        <v>60524.106499649999</v>
      </c>
      <c r="I30" s="2">
        <v>66914.798613549996</v>
      </c>
      <c r="J30" s="2">
        <v>51460.528268889997</v>
      </c>
      <c r="K30" s="2">
        <v>54882.188795039998</v>
      </c>
      <c r="L30" s="2">
        <v>58206.483341900006</v>
      </c>
      <c r="M30" s="2">
        <v>86247.653611180009</v>
      </c>
      <c r="N30" s="2">
        <v>64500.987864220006</v>
      </c>
      <c r="O30" s="2">
        <v>69769.375544750001</v>
      </c>
      <c r="P30" s="2">
        <v>70495.421548910002</v>
      </c>
      <c r="Q30" s="2">
        <v>71363.141341130002</v>
      </c>
      <c r="R30" s="2">
        <v>429061.49760423001</v>
      </c>
      <c r="S30" s="2">
        <v>470315.74436657998</v>
      </c>
      <c r="T30" s="2">
        <v>506695.55892475008</v>
      </c>
      <c r="U30" s="2">
        <v>538336.8910344399</v>
      </c>
      <c r="V30" s="2">
        <v>565371.76472114003</v>
      </c>
      <c r="W30" s="29">
        <f t="shared" si="5"/>
        <v>0.16316468102370485</v>
      </c>
      <c r="X30" s="29">
        <f t="shared" si="6"/>
        <v>0.14628618715824859</v>
      </c>
      <c r="Y30" s="29">
        <f t="shared" si="7"/>
        <v>0.23746462666357493</v>
      </c>
      <c r="Z30" s="29">
        <f t="shared" si="8"/>
        <v>0.13137696968943358</v>
      </c>
      <c r="AA30" s="29">
        <f t="shared" si="9"/>
        <v>9.1005387160108642E-2</v>
      </c>
      <c r="AB30" s="29">
        <f t="shared" si="10"/>
        <v>0.10558920211299538</v>
      </c>
      <c r="AC30" s="29">
        <f t="shared" si="11"/>
        <v>-0.23095444751933492</v>
      </c>
      <c r="AD30" s="29">
        <f t="shared" si="12"/>
        <v>6.6490971648624386E-2</v>
      </c>
      <c r="AE30" s="29">
        <f t="shared" si="13"/>
        <v>6.057146443766559E-2</v>
      </c>
      <c r="AF30" s="29">
        <f t="shared" si="14"/>
        <v>0.4817533831165941</v>
      </c>
      <c r="AG30" s="29">
        <f t="shared" si="15"/>
        <v>-0.25214211443940138</v>
      </c>
      <c r="AH30" s="29">
        <f t="shared" si="16"/>
        <v>8.1679178179726364E-2</v>
      </c>
      <c r="AI30" s="29">
        <f t="shared" si="17"/>
        <v>1.0406370968510714E-2</v>
      </c>
      <c r="AJ30" s="29">
        <f t="shared" si="18"/>
        <v>1.2308881529532689E-2</v>
      </c>
      <c r="AK30" s="29">
        <f t="shared" si="18"/>
        <v>5.0123684235427746</v>
      </c>
      <c r="AL30" s="29">
        <f t="shared" si="18"/>
        <v>9.6149962167901615E-2</v>
      </c>
      <c r="AM30" s="29">
        <f t="shared" si="18"/>
        <v>7.7351896027138878E-2</v>
      </c>
      <c r="AN30" s="29">
        <f t="shared" si="18"/>
        <v>6.2446436627223267E-2</v>
      </c>
      <c r="AO30" s="29">
        <f t="shared" si="18"/>
        <v>5.0219247718192417E-2</v>
      </c>
      <c r="AQ30" s="148"/>
      <c r="AR30" s="2"/>
    </row>
    <row r="31" spans="2:44" x14ac:dyDescent="0.2">
      <c r="B31" s="22" t="s">
        <v>12</v>
      </c>
      <c r="C31" s="2">
        <v>9240.5095365600009</v>
      </c>
      <c r="D31" s="2">
        <v>15835.853009150002</v>
      </c>
      <c r="E31" s="2">
        <v>9474.2299175400003</v>
      </c>
      <c r="F31" s="2">
        <v>11049.619521480003</v>
      </c>
      <c r="G31" s="2">
        <v>20215.425734700002</v>
      </c>
      <c r="H31" s="2">
        <v>17510.906280290001</v>
      </c>
      <c r="I31" s="2">
        <v>17084.08124394</v>
      </c>
      <c r="J31" s="2">
        <v>13943.602100169999</v>
      </c>
      <c r="K31" s="2">
        <v>18812.125377599998</v>
      </c>
      <c r="L31" s="2">
        <v>29058.917474850001</v>
      </c>
      <c r="M31" s="2">
        <v>36138.780988259998</v>
      </c>
      <c r="N31" s="2">
        <v>68327.866052550002</v>
      </c>
      <c r="O31" s="2">
        <v>50839.76544422999</v>
      </c>
      <c r="P31" s="2">
        <v>73393.737086639987</v>
      </c>
      <c r="Q31" s="2">
        <v>48653.305162769997</v>
      </c>
      <c r="R31" s="2">
        <v>130107.62115459</v>
      </c>
      <c r="S31" s="2">
        <v>258610.46604840003</v>
      </c>
      <c r="T31" s="2">
        <v>145403.75883032999</v>
      </c>
      <c r="U31" s="2">
        <v>167773.39879191999</v>
      </c>
      <c r="V31" s="2">
        <v>154722.20351704003</v>
      </c>
      <c r="W31" s="29">
        <f t="shared" si="5"/>
        <v>0.71374240202832739</v>
      </c>
      <c r="X31" s="29">
        <f t="shared" si="6"/>
        <v>-0.40172279244662334</v>
      </c>
      <c r="Y31" s="29">
        <f t="shared" si="7"/>
        <v>0.16628154664300721</v>
      </c>
      <c r="Z31" s="29">
        <f t="shared" si="8"/>
        <v>0.82951328734913021</v>
      </c>
      <c r="AA31" s="29">
        <f t="shared" si="9"/>
        <v>-0.13378493680534587</v>
      </c>
      <c r="AB31" s="29">
        <f t="shared" si="10"/>
        <v>-2.4374811304337163E-2</v>
      </c>
      <c r="AC31" s="29">
        <f t="shared" si="11"/>
        <v>-0.18382487761137167</v>
      </c>
      <c r="AD31" s="29">
        <f t="shared" si="12"/>
        <v>0.34915821912120126</v>
      </c>
      <c r="AE31" s="29">
        <f t="shared" si="13"/>
        <v>0.5446908252828826</v>
      </c>
      <c r="AF31" s="29">
        <f t="shared" si="14"/>
        <v>0.24363824012155644</v>
      </c>
      <c r="AG31" s="29">
        <f t="shared" si="15"/>
        <v>0.89070754973021682</v>
      </c>
      <c r="AH31" s="29">
        <f t="shared" si="16"/>
        <v>-0.25594390134868483</v>
      </c>
      <c r="AI31" s="29">
        <f t="shared" si="17"/>
        <v>0.44362855424955039</v>
      </c>
      <c r="AJ31" s="29">
        <f t="shared" si="18"/>
        <v>-0.33709186786148193</v>
      </c>
      <c r="AK31" s="29">
        <f t="shared" si="18"/>
        <v>1.6741784698760749</v>
      </c>
      <c r="AL31" s="29">
        <f t="shared" si="18"/>
        <v>0.98766577817241608</v>
      </c>
      <c r="AM31" s="29">
        <f t="shared" si="18"/>
        <v>-0.43774990605710029</v>
      </c>
      <c r="AN31" s="29">
        <f t="shared" si="18"/>
        <v>0.15384499095166371</v>
      </c>
      <c r="AO31" s="29">
        <f t="shared" si="18"/>
        <v>-7.7790611436957424E-2</v>
      </c>
      <c r="AQ31" s="148"/>
      <c r="AR31" s="2"/>
    </row>
    <row r="32" spans="2:44" x14ac:dyDescent="0.2">
      <c r="B32" s="22" t="s">
        <v>34</v>
      </c>
      <c r="C32" s="2">
        <v>14871.68054442</v>
      </c>
      <c r="D32" s="2">
        <v>17808.234370010003</v>
      </c>
      <c r="E32" s="2">
        <v>24548.522614210007</v>
      </c>
      <c r="F32" s="2">
        <v>24577.750619109996</v>
      </c>
      <c r="G32" s="2">
        <v>143386.81033059</v>
      </c>
      <c r="H32" s="2">
        <v>148940.77213465</v>
      </c>
      <c r="I32" s="2">
        <v>144842.24998365997</v>
      </c>
      <c r="J32" s="2">
        <v>160214.34351499</v>
      </c>
      <c r="K32" s="2">
        <v>168867.66692295001</v>
      </c>
      <c r="L32" s="2">
        <v>179786.45818244998</v>
      </c>
      <c r="M32" s="2">
        <v>180467.19204754001</v>
      </c>
      <c r="N32" s="2">
        <v>184394.55054967001</v>
      </c>
      <c r="O32" s="2">
        <v>197639.66017528001</v>
      </c>
      <c r="P32" s="2">
        <v>192517.80859907999</v>
      </c>
      <c r="Q32" s="2">
        <v>202414.83520715998</v>
      </c>
      <c r="R32" s="2">
        <v>123515.97743053998</v>
      </c>
      <c r="S32" s="2">
        <v>214950.19001604</v>
      </c>
      <c r="T32" s="2">
        <v>29344.2050743</v>
      </c>
      <c r="U32" s="2">
        <v>47788.830502679994</v>
      </c>
      <c r="V32" s="2">
        <v>21907.896445770002</v>
      </c>
      <c r="W32" s="29">
        <f t="shared" si="5"/>
        <v>0.19745944762724399</v>
      </c>
      <c r="X32" s="29">
        <f t="shared" si="6"/>
        <v>0.3784927862107994</v>
      </c>
      <c r="Y32" s="29">
        <f t="shared" si="7"/>
        <v>1.1906217477652969E-3</v>
      </c>
      <c r="Z32" s="29">
        <f t="shared" si="8"/>
        <v>4.8340086752732416</v>
      </c>
      <c r="AA32" s="29">
        <f t="shared" si="9"/>
        <v>3.8734119207023854E-2</v>
      </c>
      <c r="AB32" s="29">
        <f t="shared" si="10"/>
        <v>-2.75177984661229E-2</v>
      </c>
      <c r="AC32" s="29">
        <f t="shared" si="11"/>
        <v>0.10612990017114621</v>
      </c>
      <c r="AD32" s="29">
        <f t="shared" si="12"/>
        <v>5.401091574020267E-2</v>
      </c>
      <c r="AE32" s="29">
        <f t="shared" si="13"/>
        <v>6.4658862519145988E-2</v>
      </c>
      <c r="AF32" s="29">
        <f t="shared" si="14"/>
        <v>3.7863467136063367E-3</v>
      </c>
      <c r="AG32" s="29">
        <f t="shared" si="15"/>
        <v>2.1762174374029275E-2</v>
      </c>
      <c r="AH32" s="29">
        <f t="shared" si="16"/>
        <v>7.183026605790177E-2</v>
      </c>
      <c r="AI32" s="29">
        <f t="shared" si="17"/>
        <v>-2.5915100095080246E-2</v>
      </c>
      <c r="AJ32" s="29">
        <f t="shared" si="18"/>
        <v>5.1408369335278703E-2</v>
      </c>
      <c r="AK32" s="29">
        <f t="shared" si="18"/>
        <v>-0.38978792090941139</v>
      </c>
      <c r="AL32" s="29">
        <f t="shared" si="18"/>
        <v>0.74026222750751947</v>
      </c>
      <c r="AM32" s="29">
        <f t="shared" si="18"/>
        <v>-0.86348369791108226</v>
      </c>
      <c r="AN32" s="29">
        <f t="shared" si="18"/>
        <v>0.62856108664991628</v>
      </c>
      <c r="AO32" s="29">
        <f t="shared" si="18"/>
        <v>-0.54156868424429416</v>
      </c>
      <c r="AQ32" s="148"/>
      <c r="AR32" s="2"/>
    </row>
    <row r="33" spans="1:44" x14ac:dyDescent="0.2">
      <c r="C33" s="2"/>
      <c r="D33" s="2"/>
      <c r="E33" s="2"/>
      <c r="F33" s="2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28"/>
      <c r="AJ33" s="28"/>
      <c r="AK33" s="28"/>
      <c r="AL33" s="28"/>
      <c r="AM33" s="28"/>
      <c r="AN33" s="28"/>
      <c r="AO33" s="28"/>
      <c r="AR33" s="2"/>
    </row>
    <row r="34" spans="1:44" ht="15" x14ac:dyDescent="0.25">
      <c r="B34" s="14" t="s">
        <v>11</v>
      </c>
      <c r="C34" s="5">
        <v>480.94341680000002</v>
      </c>
      <c r="D34" s="5">
        <v>209</v>
      </c>
      <c r="E34" s="5">
        <v>311.8</v>
      </c>
      <c r="F34" s="5">
        <v>1481.74</v>
      </c>
      <c r="G34" s="5">
        <v>1289.4000000000001</v>
      </c>
      <c r="H34" s="5">
        <v>295.34671997000004</v>
      </c>
      <c r="I34" s="5">
        <v>3933.25</v>
      </c>
      <c r="J34" s="5">
        <v>292.18289666999999</v>
      </c>
      <c r="K34" s="5">
        <v>1401.23285814</v>
      </c>
      <c r="L34" s="5">
        <v>968.16691654999977</v>
      </c>
      <c r="M34" s="5">
        <v>4479.4873979900003</v>
      </c>
      <c r="N34" s="5">
        <v>6813.9300468300007</v>
      </c>
      <c r="O34" s="5">
        <v>1470.1682214900002</v>
      </c>
      <c r="P34" s="5">
        <v>100375.675</v>
      </c>
      <c r="Q34" s="5">
        <v>75000</v>
      </c>
      <c r="R34" s="5">
        <v>6534.9489450000001</v>
      </c>
      <c r="S34" s="5">
        <v>7610.1350899999998</v>
      </c>
      <c r="T34" s="5">
        <v>7350.7446680000003</v>
      </c>
      <c r="U34" s="5">
        <v>7601.7186040000006</v>
      </c>
      <c r="V34" s="5">
        <v>16428.95030774</v>
      </c>
      <c r="W34" s="31">
        <f t="shared" si="5"/>
        <v>-0.56543744503126758</v>
      </c>
      <c r="X34" s="31">
        <f t="shared" ref="X34:AO34" si="29">+E34/D34-1</f>
        <v>0.49186602870813401</v>
      </c>
      <c r="Y34" s="31">
        <f t="shared" si="29"/>
        <v>3.7522129570237333</v>
      </c>
      <c r="Z34" s="31">
        <f t="shared" si="29"/>
        <v>-0.12980684870490089</v>
      </c>
      <c r="AA34" s="31">
        <f t="shared" si="29"/>
        <v>-0.77094251592213436</v>
      </c>
      <c r="AB34" s="31">
        <f t="shared" si="29"/>
        <v>12.317398616783425</v>
      </c>
      <c r="AC34" s="31">
        <f t="shared" si="29"/>
        <v>-0.92571463886862015</v>
      </c>
      <c r="AD34" s="31">
        <f t="shared" si="29"/>
        <v>3.7957388132906145</v>
      </c>
      <c r="AE34" s="31">
        <f t="shared" si="29"/>
        <v>-0.30906065260620064</v>
      </c>
      <c r="AF34" s="31">
        <f t="shared" si="29"/>
        <v>3.6267718111587248</v>
      </c>
      <c r="AG34" s="31">
        <f t="shared" si="29"/>
        <v>0.52114057735434027</v>
      </c>
      <c r="AH34" s="31">
        <f t="shared" si="29"/>
        <v>-0.78424078154809407</v>
      </c>
      <c r="AI34" s="31">
        <f t="shared" si="29"/>
        <v>67.27495896916497</v>
      </c>
      <c r="AJ34" s="31">
        <f t="shared" si="29"/>
        <v>-0.25280701723799115</v>
      </c>
      <c r="AK34" s="31">
        <f t="shared" si="29"/>
        <v>-0.91286734739999997</v>
      </c>
      <c r="AL34" s="31">
        <f t="shared" si="29"/>
        <v>0.16452862203654139</v>
      </c>
      <c r="AM34" s="31">
        <f t="shared" si="29"/>
        <v>-3.4084864320062858E-2</v>
      </c>
      <c r="AN34" s="31">
        <f t="shared" si="29"/>
        <v>3.414265456567489E-2</v>
      </c>
      <c r="AO34" s="31">
        <f t="shared" si="29"/>
        <v>1.1612152677021137</v>
      </c>
      <c r="AQ34" s="148"/>
      <c r="AR34" s="2"/>
    </row>
    <row r="35" spans="1:44" x14ac:dyDescent="0.2">
      <c r="C35" s="2"/>
      <c r="D35" s="2"/>
      <c r="E35" s="2"/>
      <c r="F35" s="2"/>
      <c r="G35" s="2"/>
      <c r="H35" s="2"/>
      <c r="I35" s="2"/>
      <c r="J35" s="2"/>
      <c r="K35" s="2"/>
      <c r="L35" s="2"/>
      <c r="W35" s="30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0"/>
      <c r="AJ35" s="30"/>
      <c r="AK35" s="30"/>
      <c r="AL35" s="30"/>
      <c r="AM35" s="30"/>
      <c r="AN35" s="30"/>
      <c r="AO35" s="30"/>
      <c r="AR35" s="148"/>
    </row>
    <row r="36" spans="1:44" x14ac:dyDescent="0.2">
      <c r="A36" s="15">
        <v>2</v>
      </c>
      <c r="B36" s="54" t="s">
        <v>55</v>
      </c>
      <c r="C36" s="21">
        <f>+C40+C56</f>
        <v>1518620.81</v>
      </c>
      <c r="D36" s="21">
        <f t="shared" ref="D36:J36" si="30">+D40+D56</f>
        <v>1785579.0000000002</v>
      </c>
      <c r="E36" s="35">
        <f t="shared" si="30"/>
        <v>2078995.3069308</v>
      </c>
      <c r="F36" s="21">
        <f t="shared" si="30"/>
        <v>2527642.8734971401</v>
      </c>
      <c r="G36" s="21">
        <f t="shared" si="30"/>
        <v>3127593.4175918</v>
      </c>
      <c r="H36" s="21">
        <f t="shared" si="30"/>
        <v>3362551.3162389696</v>
      </c>
      <c r="I36" s="21">
        <f t="shared" si="30"/>
        <v>3716163.74422877</v>
      </c>
      <c r="J36" s="21">
        <f t="shared" si="30"/>
        <v>4173148.1989941592</v>
      </c>
      <c r="K36" s="21">
        <f t="shared" ref="K36:Q36" si="31">+K40+K56+K65</f>
        <v>4613877.5890179044</v>
      </c>
      <c r="L36" s="21">
        <f t="shared" si="31"/>
        <v>5003474.6189749204</v>
      </c>
      <c r="M36" s="21">
        <f t="shared" si="31"/>
        <v>5229162.5227600103</v>
      </c>
      <c r="N36" s="21">
        <f t="shared" si="31"/>
        <v>5740312.8143082</v>
      </c>
      <c r="O36" s="21">
        <f t="shared" si="31"/>
        <v>6081993.188811901</v>
      </c>
      <c r="P36" s="21">
        <f t="shared" si="31"/>
        <v>6802063.4992725393</v>
      </c>
      <c r="Q36" s="21">
        <f t="shared" si="31"/>
        <v>6802045.1363593806</v>
      </c>
      <c r="R36" s="21">
        <f>+R40+R56+R65</f>
        <v>7189836.6250987006</v>
      </c>
      <c r="S36" s="21">
        <f>+S40+S56+S65</f>
        <v>7395739.6262363605</v>
      </c>
      <c r="T36" s="21">
        <f>+T40+T56+T65</f>
        <v>7593741.1758683585</v>
      </c>
      <c r="U36" s="21">
        <f>+U40+U56+U65</f>
        <v>8164623.1424943898</v>
      </c>
      <c r="V36" s="21">
        <f>+V40+V56+V65</f>
        <v>8178940.0056044497</v>
      </c>
      <c r="W36" s="40">
        <f t="shared" si="5"/>
        <v>0.17578989319921168</v>
      </c>
      <c r="X36" s="40">
        <f t="shared" ref="X36:AO36" si="32">+E36/D36-1</f>
        <v>0.16432558118727858</v>
      </c>
      <c r="Y36" s="40">
        <f t="shared" si="32"/>
        <v>0.2158001824586484</v>
      </c>
      <c r="Z36" s="40">
        <f t="shared" si="32"/>
        <v>0.23735573976263247</v>
      </c>
      <c r="AA36" s="40">
        <f t="shared" si="32"/>
        <v>7.5124182486636437E-2</v>
      </c>
      <c r="AB36" s="40">
        <f t="shared" si="32"/>
        <v>0.10516194244592758</v>
      </c>
      <c r="AC36" s="40">
        <f t="shared" si="32"/>
        <v>0.12297209870665404</v>
      </c>
      <c r="AD36" s="40">
        <f t="shared" si="32"/>
        <v>0.10561076889863941</v>
      </c>
      <c r="AE36" s="40">
        <f t="shared" si="32"/>
        <v>8.4440261459113541E-2</v>
      </c>
      <c r="AF36" s="40">
        <f t="shared" si="32"/>
        <v>4.5106235360763636E-2</v>
      </c>
      <c r="AG36" s="40">
        <f t="shared" si="32"/>
        <v>9.7749934013984019E-2</v>
      </c>
      <c r="AH36" s="40">
        <f t="shared" si="32"/>
        <v>5.9522953810467349E-2</v>
      </c>
      <c r="AI36" s="40">
        <f>+P36/O36-1</f>
        <v>0.11839380415375</v>
      </c>
      <c r="AJ36" s="40">
        <f t="shared" si="32"/>
        <v>-2.6996091937458999E-6</v>
      </c>
      <c r="AK36" s="40">
        <f t="shared" si="32"/>
        <v>5.7011013741504746E-2</v>
      </c>
      <c r="AL36" s="40">
        <f t="shared" si="32"/>
        <v>2.8638063960853E-2</v>
      </c>
      <c r="AM36" s="40">
        <f t="shared" si="32"/>
        <v>2.6772379726510032E-2</v>
      </c>
      <c r="AN36" s="40">
        <f t="shared" si="32"/>
        <v>7.5177959506994796E-2</v>
      </c>
      <c r="AO36" s="40">
        <f t="shared" si="32"/>
        <v>1.7535240586359357E-3</v>
      </c>
      <c r="AP36" s="147"/>
      <c r="AR36" s="148"/>
    </row>
    <row r="37" spans="1:44" x14ac:dyDescent="0.2">
      <c r="A37" s="15"/>
      <c r="B37" s="16"/>
      <c r="C37" s="20"/>
      <c r="D37" s="20"/>
      <c r="E37" s="3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R37" s="148"/>
    </row>
    <row r="38" spans="1:44" x14ac:dyDescent="0.2">
      <c r="A38" s="15">
        <v>3</v>
      </c>
      <c r="B38" s="3" t="s">
        <v>16</v>
      </c>
      <c r="C38" s="20">
        <f>+C36-C46</f>
        <v>1095659.6100000001</v>
      </c>
      <c r="D38" s="20">
        <f t="shared" ref="D38:O38" si="33">+D36-D46</f>
        <v>1376941.3000000003</v>
      </c>
      <c r="E38" s="38">
        <f t="shared" si="33"/>
        <v>1750435.3069308</v>
      </c>
      <c r="F38" s="20">
        <f t="shared" si="33"/>
        <v>2190972.9734971402</v>
      </c>
      <c r="G38" s="20">
        <f t="shared" si="33"/>
        <v>2750538.9957664302</v>
      </c>
      <c r="H38" s="20">
        <f t="shared" si="33"/>
        <v>2958735.6668984494</v>
      </c>
      <c r="I38" s="20">
        <f t="shared" si="33"/>
        <v>3292674.6845180499</v>
      </c>
      <c r="J38" s="20">
        <f t="shared" si="33"/>
        <v>3635844.5642744992</v>
      </c>
      <c r="K38" s="20">
        <f t="shared" si="33"/>
        <v>4023244.8601329043</v>
      </c>
      <c r="L38" s="20">
        <f t="shared" si="33"/>
        <v>4317724.4793792004</v>
      </c>
      <c r="M38" s="20">
        <f t="shared" si="33"/>
        <v>4485114.69842597</v>
      </c>
      <c r="N38" s="20">
        <f t="shared" si="33"/>
        <v>4821148.74590619</v>
      </c>
      <c r="O38" s="20">
        <f t="shared" si="33"/>
        <v>4961582.1419411208</v>
      </c>
      <c r="P38" s="20">
        <f t="shared" ref="P38:V38" si="34">+P36-P46</f>
        <v>5429180.7465412086</v>
      </c>
      <c r="Q38" s="20">
        <f t="shared" si="34"/>
        <v>5263285.4753264803</v>
      </c>
      <c r="R38" s="20">
        <f t="shared" si="34"/>
        <v>5464487.1927441908</v>
      </c>
      <c r="S38" s="20">
        <f t="shared" si="34"/>
        <v>5508771.4709744602</v>
      </c>
      <c r="T38" s="20">
        <f t="shared" si="34"/>
        <v>5526482.2947289888</v>
      </c>
      <c r="U38" s="20">
        <f t="shared" si="34"/>
        <v>5978368.4079795703</v>
      </c>
      <c r="V38" s="20">
        <f t="shared" si="34"/>
        <v>6103841.1867131293</v>
      </c>
      <c r="W38" s="28">
        <f t="shared" si="5"/>
        <v>0.25672360962543839</v>
      </c>
      <c r="X38" s="28">
        <f t="shared" ref="X38:AO38" si="35">+E38/D38-1</f>
        <v>0.27124904084930823</v>
      </c>
      <c r="Y38" s="28">
        <f t="shared" si="35"/>
        <v>0.25167320655727377</v>
      </c>
      <c r="Z38" s="28">
        <f t="shared" si="35"/>
        <v>0.25539613178164111</v>
      </c>
      <c r="AA38" s="28">
        <f t="shared" si="35"/>
        <v>7.5693044691411693E-2</v>
      </c>
      <c r="AB38" s="28">
        <f t="shared" si="35"/>
        <v>0.11286544497895568</v>
      </c>
      <c r="AC38" s="28">
        <f t="shared" si="35"/>
        <v>0.10422222437279105</v>
      </c>
      <c r="AD38" s="28">
        <f t="shared" si="35"/>
        <v>0.10655029086363244</v>
      </c>
      <c r="AE38" s="28">
        <f t="shared" si="35"/>
        <v>7.3194555510242676E-2</v>
      </c>
      <c r="AF38" s="28">
        <f t="shared" si="35"/>
        <v>3.8768156663585129E-2</v>
      </c>
      <c r="AG38" s="28">
        <f t="shared" si="35"/>
        <v>7.4922063330542965E-2</v>
      </c>
      <c r="AH38" s="28">
        <f t="shared" si="35"/>
        <v>2.912861714838777E-2</v>
      </c>
      <c r="AI38" s="28">
        <f t="shared" si="35"/>
        <v>9.4243850292710984E-2</v>
      </c>
      <c r="AJ38" s="28">
        <f t="shared" si="35"/>
        <v>-3.0556225507949009E-2</v>
      </c>
      <c r="AK38" s="28">
        <f t="shared" si="35"/>
        <v>3.8227399665268891E-2</v>
      </c>
      <c r="AL38" s="28">
        <f t="shared" si="35"/>
        <v>8.104013545693789E-3</v>
      </c>
      <c r="AM38" s="28">
        <f t="shared" si="35"/>
        <v>3.2150224143161488E-3</v>
      </c>
      <c r="AN38" s="28">
        <f t="shared" si="35"/>
        <v>8.1767404499165419E-2</v>
      </c>
      <c r="AO38" s="28">
        <f t="shared" si="35"/>
        <v>2.098779636365089E-2</v>
      </c>
    </row>
    <row r="39" spans="1:44" ht="9" customHeight="1" x14ac:dyDescent="0.2">
      <c r="C39" s="2"/>
      <c r="D39" s="2"/>
      <c r="E39" s="36"/>
      <c r="AH39" s="6"/>
      <c r="AI39" s="6"/>
      <c r="AJ39" s="6"/>
      <c r="AK39" s="6"/>
      <c r="AL39" s="6"/>
      <c r="AM39" s="6"/>
      <c r="AN39" s="6"/>
      <c r="AO39" s="6"/>
    </row>
    <row r="40" spans="1:44" x14ac:dyDescent="0.2">
      <c r="B40" s="16" t="s">
        <v>1</v>
      </c>
      <c r="C40" s="20">
        <f>+C43+C44+C45+C46+C50</f>
        <v>1440477.11</v>
      </c>
      <c r="D40" s="20">
        <f t="shared" ref="D40:O40" si="36">+D43+D44+D45+D46+D50</f>
        <v>1647618.5000000002</v>
      </c>
      <c r="E40" s="38">
        <f t="shared" si="36"/>
        <v>1860440.6069308</v>
      </c>
      <c r="F40" s="20">
        <f t="shared" si="36"/>
        <v>2281476.9734971402</v>
      </c>
      <c r="G40" s="20">
        <f t="shared" si="36"/>
        <v>2839864.4341989001</v>
      </c>
      <c r="H40" s="20">
        <f t="shared" si="36"/>
        <v>3119579.0176944295</v>
      </c>
      <c r="I40" s="20">
        <f t="shared" si="36"/>
        <v>3434416.8394804802</v>
      </c>
      <c r="J40" s="20">
        <f t="shared" si="36"/>
        <v>3884053.7192292293</v>
      </c>
      <c r="K40" s="20">
        <f t="shared" si="36"/>
        <v>4244158.1930252146</v>
      </c>
      <c r="L40" s="20">
        <f t="shared" si="36"/>
        <v>4604528.1218475103</v>
      </c>
      <c r="M40" s="20">
        <f t="shared" si="36"/>
        <v>4868778.0557893701</v>
      </c>
      <c r="N40" s="20">
        <f t="shared" si="36"/>
        <v>5304640.00212414</v>
      </c>
      <c r="O40" s="20">
        <f t="shared" si="36"/>
        <v>5706224.0338470303</v>
      </c>
      <c r="P40" s="20">
        <f t="shared" ref="P40:V40" si="37">+P43+P44+P45+P46+P50</f>
        <v>6210983.6731131691</v>
      </c>
      <c r="Q40" s="20">
        <f t="shared" si="37"/>
        <v>6431137.6795027703</v>
      </c>
      <c r="R40" s="20">
        <f t="shared" si="37"/>
        <v>6704550.6262829006</v>
      </c>
      <c r="S40" s="20">
        <f t="shared" si="37"/>
        <v>6916553.5832239706</v>
      </c>
      <c r="T40" s="20">
        <f t="shared" si="37"/>
        <v>7115061.7746121194</v>
      </c>
      <c r="U40" s="20">
        <f t="shared" si="37"/>
        <v>7535082.7228577193</v>
      </c>
      <c r="V40" s="20">
        <f t="shared" si="37"/>
        <v>7473679.8564040493</v>
      </c>
      <c r="W40" s="28">
        <f t="shared" si="5"/>
        <v>0.1438005425855049</v>
      </c>
      <c r="X40" s="28">
        <f t="shared" ref="X40:AO40" si="38">+E40/D40-1</f>
        <v>0.12916952979758345</v>
      </c>
      <c r="Y40" s="28">
        <f t="shared" si="38"/>
        <v>0.22631002838673298</v>
      </c>
      <c r="Z40" s="28">
        <f t="shared" si="38"/>
        <v>0.24474823423084602</v>
      </c>
      <c r="AA40" s="28">
        <f t="shared" si="38"/>
        <v>9.849575216587203E-2</v>
      </c>
      <c r="AB40" s="28">
        <f t="shared" si="38"/>
        <v>0.10092317585170063</v>
      </c>
      <c r="AC40" s="28">
        <f t="shared" si="38"/>
        <v>0.13092088140843305</v>
      </c>
      <c r="AD40" s="28">
        <f t="shared" si="38"/>
        <v>9.2713566759691002E-2</v>
      </c>
      <c r="AE40" s="28">
        <f t="shared" si="38"/>
        <v>8.4909636359578267E-2</v>
      </c>
      <c r="AF40" s="28">
        <f t="shared" si="38"/>
        <v>5.7389145412762188E-2</v>
      </c>
      <c r="AG40" s="28">
        <f t="shared" si="38"/>
        <v>8.9521835117642112E-2</v>
      </c>
      <c r="AH40" s="28">
        <f t="shared" si="38"/>
        <v>7.5704295025125878E-2</v>
      </c>
      <c r="AI40" s="28">
        <f t="shared" si="38"/>
        <v>8.8457732516653342E-2</v>
      </c>
      <c r="AJ40" s="28">
        <f t="shared" si="38"/>
        <v>3.5445916134448918E-2</v>
      </c>
      <c r="AK40" s="28">
        <f t="shared" si="38"/>
        <v>4.2513931501038771E-2</v>
      </c>
      <c r="AL40" s="28">
        <f t="shared" si="38"/>
        <v>3.1620755626780461E-2</v>
      </c>
      <c r="AM40" s="28">
        <f t="shared" si="38"/>
        <v>2.8700448713305571E-2</v>
      </c>
      <c r="AN40" s="28">
        <f t="shared" si="38"/>
        <v>5.9032649546953087E-2</v>
      </c>
      <c r="AO40" s="28">
        <f t="shared" si="38"/>
        <v>-8.1489306371387293E-3</v>
      </c>
    </row>
    <row r="41" spans="1:44" x14ac:dyDescent="0.2">
      <c r="C41" s="43"/>
      <c r="D41" s="2"/>
      <c r="E41" s="36"/>
      <c r="AH41" s="6"/>
      <c r="AI41" s="6"/>
      <c r="AJ41" s="6"/>
      <c r="AK41" s="6"/>
      <c r="AL41" s="6"/>
      <c r="AM41" s="6"/>
      <c r="AN41" s="6"/>
      <c r="AO41" s="6"/>
    </row>
    <row r="42" spans="1:44" x14ac:dyDescent="0.2">
      <c r="B42" s="25" t="s">
        <v>41</v>
      </c>
      <c r="C42" s="5">
        <f>SUM(C43:C44)</f>
        <v>548781.51</v>
      </c>
      <c r="D42" s="5">
        <f t="shared" ref="D42:O42" si="39">SUM(D43:D44)</f>
        <v>619246.30000000005</v>
      </c>
      <c r="E42" s="37">
        <f t="shared" si="39"/>
        <v>732948</v>
      </c>
      <c r="F42" s="5">
        <f t="shared" si="39"/>
        <v>959114</v>
      </c>
      <c r="G42" s="5">
        <f t="shared" si="39"/>
        <v>1160531.07929534</v>
      </c>
      <c r="H42" s="5">
        <f t="shared" si="39"/>
        <v>1302637.6954095501</v>
      </c>
      <c r="I42" s="5">
        <f t="shared" si="39"/>
        <v>1415066.6942610401</v>
      </c>
      <c r="J42" s="5">
        <f t="shared" si="39"/>
        <v>1565741.3797589699</v>
      </c>
      <c r="K42" s="5">
        <f t="shared" si="39"/>
        <v>1696267.59712416</v>
      </c>
      <c r="L42" s="5">
        <f t="shared" si="39"/>
        <v>1812970.3186596697</v>
      </c>
      <c r="M42" s="5">
        <f t="shared" si="39"/>
        <v>1866303.8095022701</v>
      </c>
      <c r="N42" s="5">
        <f t="shared" si="39"/>
        <v>1961986.5729491701</v>
      </c>
      <c r="O42" s="5">
        <f t="shared" si="39"/>
        <v>2054597.9793067302</v>
      </c>
      <c r="P42" s="5">
        <f t="shared" ref="P42:V42" si="40">SUM(P43:P44)</f>
        <v>2128250.7911696797</v>
      </c>
      <c r="Q42" s="5">
        <f t="shared" si="40"/>
        <v>2137982.4776024604</v>
      </c>
      <c r="R42" s="5">
        <f t="shared" si="40"/>
        <v>2244999.1391666103</v>
      </c>
      <c r="S42" s="5">
        <f t="shared" si="40"/>
        <v>2255003.2088660803</v>
      </c>
      <c r="T42" s="5">
        <f t="shared" si="40"/>
        <v>2292257.3313807198</v>
      </c>
      <c r="U42" s="5">
        <f t="shared" si="40"/>
        <v>2441342.2771846494</v>
      </c>
      <c r="V42" s="5">
        <f t="shared" si="40"/>
        <v>2472587.3806077391</v>
      </c>
      <c r="W42" s="31">
        <f t="shared" si="5"/>
        <v>0.12840226705159963</v>
      </c>
      <c r="X42" s="31">
        <f t="shared" ref="X42:AO48" si="41">+E42/D42-1</f>
        <v>0.18361304702183912</v>
      </c>
      <c r="Y42" s="31">
        <f t="shared" si="41"/>
        <v>0.30857032149620434</v>
      </c>
      <c r="Z42" s="31">
        <f t="shared" si="41"/>
        <v>0.21000327312012956</v>
      </c>
      <c r="AA42" s="31">
        <f t="shared" si="41"/>
        <v>0.12244964279672321</v>
      </c>
      <c r="AB42" s="31">
        <f t="shared" si="41"/>
        <v>8.6308725171769352E-2</v>
      </c>
      <c r="AC42" s="31">
        <f t="shared" si="41"/>
        <v>0.10647885792875189</v>
      </c>
      <c r="AD42" s="31">
        <f t="shared" si="41"/>
        <v>8.3363842236374497E-2</v>
      </c>
      <c r="AE42" s="31">
        <f t="shared" si="41"/>
        <v>6.8799711633569238E-2</v>
      </c>
      <c r="AF42" s="31">
        <f t="shared" si="41"/>
        <v>2.9417740761486844E-2</v>
      </c>
      <c r="AG42" s="31">
        <f t="shared" si="41"/>
        <v>5.1268589261690423E-2</v>
      </c>
      <c r="AH42" s="31">
        <f t="shared" si="41"/>
        <v>4.7202874695697172E-2</v>
      </c>
      <c r="AI42" s="31">
        <f t="shared" si="41"/>
        <v>3.5847797284314309E-2</v>
      </c>
      <c r="AJ42" s="31">
        <f t="shared" si="41"/>
        <v>4.5726220204678203E-3</v>
      </c>
      <c r="AK42" s="31">
        <f t="shared" si="41"/>
        <v>5.0054975980981187E-2</v>
      </c>
      <c r="AL42" s="31">
        <f t="shared" si="41"/>
        <v>4.4561574768280376E-3</v>
      </c>
      <c r="AM42" s="31">
        <f t="shared" si="41"/>
        <v>1.6520651663893826E-2</v>
      </c>
      <c r="AN42" s="31">
        <f t="shared" si="41"/>
        <v>6.5038485759419284E-2</v>
      </c>
      <c r="AO42" s="31">
        <f t="shared" si="41"/>
        <v>1.2798329720124846E-2</v>
      </c>
    </row>
    <row r="43" spans="1:44" x14ac:dyDescent="0.2">
      <c r="B43" s="25" t="s">
        <v>2</v>
      </c>
      <c r="C43" s="2">
        <v>456537.31</v>
      </c>
      <c r="D43" s="2">
        <v>516093.7</v>
      </c>
      <c r="E43" s="39">
        <v>612814.1</v>
      </c>
      <c r="F43" s="26">
        <v>797684.8</v>
      </c>
      <c r="G43" s="26">
        <v>965697.34529455006</v>
      </c>
      <c r="H43" s="26">
        <v>1080697.7528974002</v>
      </c>
      <c r="I43" s="26">
        <v>1176594.9338194001</v>
      </c>
      <c r="J43" s="26">
        <v>1299235.5027307398</v>
      </c>
      <c r="K43" s="26">
        <v>1404432.27826018</v>
      </c>
      <c r="L43" s="26">
        <v>1496812.2958818998</v>
      </c>
      <c r="M43" s="26">
        <v>1548177.75121924</v>
      </c>
      <c r="N43" s="26">
        <v>1614003.1820593802</v>
      </c>
      <c r="O43" s="26">
        <v>1697883.1424786001</v>
      </c>
      <c r="P43" s="26">
        <v>1748242.9856226495</v>
      </c>
      <c r="Q43" s="26">
        <v>1756796.3320778902</v>
      </c>
      <c r="R43" s="26">
        <v>1844126.6326173106</v>
      </c>
      <c r="S43" s="26">
        <v>1840867.4799062102</v>
      </c>
      <c r="T43" s="26">
        <v>1858610.9946060798</v>
      </c>
      <c r="U43" s="26">
        <v>2003396.5830518494</v>
      </c>
      <c r="V43" s="26">
        <v>2036258.1906293493</v>
      </c>
      <c r="W43" s="29">
        <f t="shared" si="5"/>
        <v>0.13045240486478527</v>
      </c>
      <c r="X43" s="29">
        <f t="shared" si="41"/>
        <v>0.1874086042902674</v>
      </c>
      <c r="Y43" s="29">
        <f t="shared" si="41"/>
        <v>0.30167501041506717</v>
      </c>
      <c r="Z43" s="29">
        <f t="shared" si="41"/>
        <v>0.21062523103680797</v>
      </c>
      <c r="AA43" s="29">
        <f t="shared" si="41"/>
        <v>0.11908535128857944</v>
      </c>
      <c r="AB43" s="29">
        <f t="shared" si="41"/>
        <v>8.8736356363187774E-2</v>
      </c>
      <c r="AC43" s="29">
        <f t="shared" si="41"/>
        <v>0.10423346674902834</v>
      </c>
      <c r="AD43" s="29">
        <f t="shared" si="41"/>
        <v>8.0968211927966216E-2</v>
      </c>
      <c r="AE43" s="29">
        <f t="shared" si="41"/>
        <v>6.5777481087347711E-2</v>
      </c>
      <c r="AF43" s="29">
        <f t="shared" si="41"/>
        <v>3.4316564260367999E-2</v>
      </c>
      <c r="AG43" s="29">
        <f t="shared" si="41"/>
        <v>4.2518005951384108E-2</v>
      </c>
      <c r="AH43" s="29">
        <f t="shared" si="41"/>
        <v>5.1970133238643079E-2</v>
      </c>
      <c r="AI43" s="29">
        <f t="shared" si="41"/>
        <v>2.9660370542658798E-2</v>
      </c>
      <c r="AJ43" s="29">
        <f t="shared" si="41"/>
        <v>4.8925386948968086E-3</v>
      </c>
      <c r="AK43" s="29">
        <f t="shared" si="41"/>
        <v>4.9709974312234895E-2</v>
      </c>
      <c r="AL43" s="29">
        <f t="shared" si="41"/>
        <v>-1.7673150278594285E-3</v>
      </c>
      <c r="AM43" s="29">
        <f t="shared" si="41"/>
        <v>9.6386702973174643E-3</v>
      </c>
      <c r="AN43" s="29">
        <f t="shared" si="41"/>
        <v>7.7899888070153134E-2</v>
      </c>
      <c r="AO43" s="29">
        <f t="shared" si="41"/>
        <v>1.6402946803193874E-2</v>
      </c>
    </row>
    <row r="44" spans="1:44" ht="14.25" x14ac:dyDescent="0.2">
      <c r="B44" s="192" t="s">
        <v>137</v>
      </c>
      <c r="C44" s="2">
        <v>92244.2</v>
      </c>
      <c r="D44" s="2">
        <v>103152.6</v>
      </c>
      <c r="E44" s="36">
        <v>120133.9</v>
      </c>
      <c r="F44" s="2">
        <v>161429.20000000001</v>
      </c>
      <c r="G44" s="2">
        <v>194833.73400078999</v>
      </c>
      <c r="H44" s="2">
        <v>221939.94251214998</v>
      </c>
      <c r="I44" s="2">
        <v>238471.76044163998</v>
      </c>
      <c r="J44" s="2">
        <v>266505.87702823</v>
      </c>
      <c r="K44" s="2">
        <v>291835.31886398001</v>
      </c>
      <c r="L44" s="2">
        <v>316158.02277776995</v>
      </c>
      <c r="M44" s="2">
        <v>318126.05828303006</v>
      </c>
      <c r="N44" s="2">
        <v>347983.39088978997</v>
      </c>
      <c r="O44" s="2">
        <v>356714.83682813006</v>
      </c>
      <c r="P44" s="2">
        <v>380007.80554703006</v>
      </c>
      <c r="Q44" s="2">
        <v>381186.14552457002</v>
      </c>
      <c r="R44" s="2">
        <v>400872.50654929993</v>
      </c>
      <c r="S44" s="2">
        <v>414135.72895986994</v>
      </c>
      <c r="T44" s="2">
        <v>433646.33677464002</v>
      </c>
      <c r="U44" s="2">
        <v>437945.69413279992</v>
      </c>
      <c r="V44" s="2">
        <v>436329.18997838994</v>
      </c>
      <c r="W44" s="29">
        <f t="shared" si="5"/>
        <v>0.11825567352744137</v>
      </c>
      <c r="X44" s="29">
        <f t="shared" si="41"/>
        <v>0.1646230923893337</v>
      </c>
      <c r="Y44" s="29">
        <f t="shared" si="41"/>
        <v>0.34374393905467171</v>
      </c>
      <c r="Z44" s="29">
        <f t="shared" si="41"/>
        <v>0.20692993585293107</v>
      </c>
      <c r="AA44" s="29">
        <f t="shared" si="41"/>
        <v>0.13912482173774943</v>
      </c>
      <c r="AB44" s="29">
        <f t="shared" si="41"/>
        <v>7.4487799457661819E-2</v>
      </c>
      <c r="AC44" s="29">
        <f t="shared" si="41"/>
        <v>0.11755738513722536</v>
      </c>
      <c r="AD44" s="29">
        <f t="shared" si="41"/>
        <v>9.5042713947606217E-2</v>
      </c>
      <c r="AE44" s="29">
        <f t="shared" si="41"/>
        <v>8.3343935231932509E-2</v>
      </c>
      <c r="AF44" s="29">
        <f t="shared" si="41"/>
        <v>6.2248475871935494E-3</v>
      </c>
      <c r="AG44" s="29">
        <f t="shared" si="41"/>
        <v>9.3853778492412721E-2</v>
      </c>
      <c r="AH44" s="29">
        <f t="shared" si="41"/>
        <v>2.5091559444874401E-2</v>
      </c>
      <c r="AI44" s="29">
        <f t="shared" si="41"/>
        <v>6.5298569933391448E-2</v>
      </c>
      <c r="AJ44" s="29">
        <f t="shared" si="41"/>
        <v>3.1008309838365111E-3</v>
      </c>
      <c r="AK44" s="29">
        <f t="shared" si="41"/>
        <v>5.1645006661085402E-2</v>
      </c>
      <c r="AL44" s="29">
        <f t="shared" si="41"/>
        <v>3.3085886893914118E-2</v>
      </c>
      <c r="AM44" s="29">
        <f t="shared" si="41"/>
        <v>4.7111626576562982E-2</v>
      </c>
      <c r="AN44" s="29">
        <f t="shared" si="41"/>
        <v>9.9144325538123024E-3</v>
      </c>
      <c r="AO44" s="29">
        <f t="shared" si="41"/>
        <v>-3.6911063998720239E-3</v>
      </c>
    </row>
    <row r="45" spans="1:44" ht="14.25" x14ac:dyDescent="0.2">
      <c r="B45" s="191" t="s">
        <v>136</v>
      </c>
      <c r="C45" s="2">
        <v>42316.800000000003</v>
      </c>
      <c r="D45" s="2">
        <v>56923.4</v>
      </c>
      <c r="E45" s="36">
        <v>67341.899999999994</v>
      </c>
      <c r="F45" s="2">
        <v>84671.2</v>
      </c>
      <c r="G45" s="2">
        <v>96645.055163860015</v>
      </c>
      <c r="H45" s="2">
        <v>106509.04895551999</v>
      </c>
      <c r="I45" s="2">
        <v>114346.51310636003</v>
      </c>
      <c r="J45" s="2">
        <v>126602.37456024998</v>
      </c>
      <c r="K45" s="2">
        <v>144488.24029806998</v>
      </c>
      <c r="L45" s="2">
        <v>152829.38731607</v>
      </c>
      <c r="M45" s="2">
        <v>156777.43815905994</v>
      </c>
      <c r="N45" s="2">
        <v>171502.50016272999</v>
      </c>
      <c r="O45" s="2">
        <v>173868.07382324</v>
      </c>
      <c r="P45" s="2">
        <v>185192.28345326998</v>
      </c>
      <c r="Q45" s="2">
        <v>194133.02851302002</v>
      </c>
      <c r="R45" s="2">
        <v>257469.99501645993</v>
      </c>
      <c r="S45" s="2">
        <v>275721.23469304002</v>
      </c>
      <c r="T45" s="2">
        <v>271533.78066461999</v>
      </c>
      <c r="U45" s="2">
        <v>271373.98744880001</v>
      </c>
      <c r="V45" s="2">
        <v>281905.18863234995</v>
      </c>
      <c r="W45" s="29">
        <f t="shared" si="5"/>
        <v>0.34517260284331508</v>
      </c>
      <c r="X45" s="29">
        <f t="shared" si="41"/>
        <v>0.18302666390271827</v>
      </c>
      <c r="Y45" s="29">
        <f t="shared" si="41"/>
        <v>0.25733310167963785</v>
      </c>
      <c r="Z45" s="29">
        <f t="shared" si="41"/>
        <v>0.14141591431159606</v>
      </c>
      <c r="AA45" s="29">
        <f t="shared" si="41"/>
        <v>0.10206413328582342</v>
      </c>
      <c r="AB45" s="29">
        <f t="shared" si="41"/>
        <v>7.3584960411327005E-2</v>
      </c>
      <c r="AC45" s="29">
        <f t="shared" si="41"/>
        <v>0.1071817681269398</v>
      </c>
      <c r="AD45" s="29">
        <f t="shared" si="41"/>
        <v>0.14127591050283295</v>
      </c>
      <c r="AE45" s="29">
        <f t="shared" si="41"/>
        <v>5.7728898911030946E-2</v>
      </c>
      <c r="AF45" s="29">
        <f t="shared" si="41"/>
        <v>2.5833060724276047E-2</v>
      </c>
      <c r="AG45" s="29">
        <f t="shared" si="41"/>
        <v>9.3923348771209225E-2</v>
      </c>
      <c r="AH45" s="29">
        <f t="shared" si="41"/>
        <v>1.3793231342198675E-2</v>
      </c>
      <c r="AI45" s="29">
        <f t="shared" si="41"/>
        <v>6.5131046666695891E-2</v>
      </c>
      <c r="AJ45" s="29">
        <f t="shared" si="41"/>
        <v>4.827817278901958E-2</v>
      </c>
      <c r="AK45" s="29">
        <f t="shared" si="41"/>
        <v>0.32625549082799199</v>
      </c>
      <c r="AL45" s="29">
        <f t="shared" si="41"/>
        <v>7.0886860721045553E-2</v>
      </c>
      <c r="AM45" s="29">
        <f t="shared" si="41"/>
        <v>-1.5187274324670375E-2</v>
      </c>
      <c r="AN45" s="29">
        <f t="shared" si="41"/>
        <v>-5.8848374382325375E-4</v>
      </c>
      <c r="AO45" s="29">
        <f t="shared" si="41"/>
        <v>3.8806966292363798E-2</v>
      </c>
    </row>
    <row r="46" spans="1:44" x14ac:dyDescent="0.2">
      <c r="B46" s="1" t="s">
        <v>17</v>
      </c>
      <c r="C46" s="5">
        <f>+C47+C48</f>
        <v>422961.2</v>
      </c>
      <c r="D46" s="5">
        <f t="shared" ref="D46:O46" si="42">+D47+D48</f>
        <v>408637.7</v>
      </c>
      <c r="E46" s="37">
        <f t="shared" si="42"/>
        <v>328560</v>
      </c>
      <c r="F46" s="5">
        <f t="shared" si="42"/>
        <v>336669.9</v>
      </c>
      <c r="G46" s="5">
        <f t="shared" si="42"/>
        <v>377054.42182536999</v>
      </c>
      <c r="H46" s="5">
        <f t="shared" si="42"/>
        <v>403815.64934051997</v>
      </c>
      <c r="I46" s="5">
        <f t="shared" si="42"/>
        <v>423489.05971071991</v>
      </c>
      <c r="J46" s="5">
        <f t="shared" si="42"/>
        <v>537303.63471966004</v>
      </c>
      <c r="K46" s="5">
        <f t="shared" si="42"/>
        <v>590632.72888499999</v>
      </c>
      <c r="L46" s="5">
        <f t="shared" si="42"/>
        <v>685750.13959571999</v>
      </c>
      <c r="M46" s="5">
        <f t="shared" si="42"/>
        <v>744047.82433403993</v>
      </c>
      <c r="N46" s="5">
        <f t="shared" si="42"/>
        <v>919164.0684020099</v>
      </c>
      <c r="O46" s="5">
        <f t="shared" si="42"/>
        <v>1120411.0468707799</v>
      </c>
      <c r="P46" s="5">
        <f t="shared" ref="P46:V46" si="43">+P47+P48</f>
        <v>1372882.7527313305</v>
      </c>
      <c r="Q46" s="5">
        <f t="shared" si="43"/>
        <v>1538759.6610329</v>
      </c>
      <c r="R46" s="5">
        <f t="shared" si="43"/>
        <v>1725349.4323545101</v>
      </c>
      <c r="S46" s="5">
        <f t="shared" si="43"/>
        <v>1886968.1552619</v>
      </c>
      <c r="T46" s="5">
        <f t="shared" si="43"/>
        <v>2067258.8811393701</v>
      </c>
      <c r="U46" s="5">
        <f t="shared" si="43"/>
        <v>2186254.7345148199</v>
      </c>
      <c r="V46" s="5">
        <f t="shared" si="43"/>
        <v>2075098.8188913201</v>
      </c>
      <c r="W46" s="31">
        <f t="shared" si="5"/>
        <v>-3.3864808403229474E-2</v>
      </c>
      <c r="X46" s="31">
        <f t="shared" si="41"/>
        <v>-0.19596258494994467</v>
      </c>
      <c r="Y46" s="31">
        <f t="shared" si="41"/>
        <v>2.4683162892622512E-2</v>
      </c>
      <c r="Z46" s="31">
        <f t="shared" si="41"/>
        <v>0.11995287320122761</v>
      </c>
      <c r="AA46" s="31">
        <f t="shared" si="41"/>
        <v>7.0974442855212594E-2</v>
      </c>
      <c r="AB46" s="31">
        <f t="shared" si="41"/>
        <v>4.8718791365141456E-2</v>
      </c>
      <c r="AC46" s="31">
        <f t="shared" si="41"/>
        <v>0.26875446342506559</v>
      </c>
      <c r="AD46" s="31">
        <f t="shared" si="41"/>
        <v>9.925317961633473E-2</v>
      </c>
      <c r="AE46" s="31">
        <f t="shared" si="41"/>
        <v>0.16104324406519632</v>
      </c>
      <c r="AF46" s="31">
        <f t="shared" si="41"/>
        <v>8.501301184231469E-2</v>
      </c>
      <c r="AG46" s="31">
        <f t="shared" si="41"/>
        <v>0.23535616709142015</v>
      </c>
      <c r="AH46" s="31">
        <f t="shared" si="41"/>
        <v>0.21894565441253921</v>
      </c>
      <c r="AI46" s="31">
        <f t="shared" si="41"/>
        <v>0.22533846534777058</v>
      </c>
      <c r="AJ46" s="31">
        <f t="shared" si="41"/>
        <v>0.12082379793289699</v>
      </c>
      <c r="AK46" s="31">
        <f t="shared" si="41"/>
        <v>0.12125985366445136</v>
      </c>
      <c r="AL46" s="31">
        <f t="shared" si="41"/>
        <v>9.3673037980970486E-2</v>
      </c>
      <c r="AM46" s="31">
        <f t="shared" si="41"/>
        <v>9.5545187328530679E-2</v>
      </c>
      <c r="AN46" s="31">
        <f t="shared" si="41"/>
        <v>5.7562143987435865E-2</v>
      </c>
      <c r="AO46" s="31">
        <f t="shared" si="41"/>
        <v>-5.0843076000550269E-2</v>
      </c>
    </row>
    <row r="47" spans="1:44" x14ac:dyDescent="0.2">
      <c r="B47" s="1" t="s">
        <v>3</v>
      </c>
      <c r="C47" s="2">
        <v>336194.4</v>
      </c>
      <c r="D47" s="2">
        <v>321093.90000000002</v>
      </c>
      <c r="E47" s="36">
        <v>245872.6</v>
      </c>
      <c r="F47" s="2">
        <v>257638.90000000002</v>
      </c>
      <c r="G47" s="2">
        <v>312482.49444323999</v>
      </c>
      <c r="H47" s="2">
        <v>345627.16557817999</v>
      </c>
      <c r="I47" s="2">
        <v>376787.49341848993</v>
      </c>
      <c r="J47" s="2">
        <v>475115.68968686002</v>
      </c>
      <c r="K47" s="2">
        <v>495060.05658690003</v>
      </c>
      <c r="L47" s="2">
        <v>545385.96528429003</v>
      </c>
      <c r="M47" s="2">
        <v>563822.45435430994</v>
      </c>
      <c r="N47" s="2">
        <v>725652.05275258992</v>
      </c>
      <c r="O47" s="2">
        <v>916556.85654807999</v>
      </c>
      <c r="P47" s="2">
        <v>1166935.6546190204</v>
      </c>
      <c r="Q47" s="2">
        <v>1300796.71460273</v>
      </c>
      <c r="R47" s="2">
        <v>1474758.54818149</v>
      </c>
      <c r="S47" s="2">
        <v>1591772.11446949</v>
      </c>
      <c r="T47" s="2">
        <v>1675974.6600083301</v>
      </c>
      <c r="U47" s="2">
        <v>1693693.4484176098</v>
      </c>
      <c r="V47" s="2">
        <v>1638653.1471953501</v>
      </c>
      <c r="W47" s="29">
        <f t="shared" si="5"/>
        <v>-4.4915977184628919E-2</v>
      </c>
      <c r="X47" s="29">
        <f t="shared" si="41"/>
        <v>-0.23426573971040876</v>
      </c>
      <c r="Y47" s="29">
        <f t="shared" si="41"/>
        <v>4.7855271388515863E-2</v>
      </c>
      <c r="Z47" s="29">
        <f t="shared" si="41"/>
        <v>0.21287000698745406</v>
      </c>
      <c r="AA47" s="29">
        <f t="shared" si="41"/>
        <v>0.10606888937569092</v>
      </c>
      <c r="AB47" s="29">
        <f t="shared" si="41"/>
        <v>9.0155899025424091E-2</v>
      </c>
      <c r="AC47" s="29">
        <f t="shared" si="41"/>
        <v>0.26096459671807382</v>
      </c>
      <c r="AD47" s="29">
        <f t="shared" si="41"/>
        <v>4.1977916816817729E-2</v>
      </c>
      <c r="AE47" s="29">
        <f t="shared" si="41"/>
        <v>0.10165616883808526</v>
      </c>
      <c r="AF47" s="29">
        <f t="shared" si="41"/>
        <v>3.3804480209551402E-2</v>
      </c>
      <c r="AG47" s="29">
        <f t="shared" si="41"/>
        <v>0.28702226587198876</v>
      </c>
      <c r="AH47" s="29">
        <f t="shared" si="41"/>
        <v>0.26308036072017948</v>
      </c>
      <c r="AI47" s="29">
        <f t="shared" si="41"/>
        <v>0.27317323118820203</v>
      </c>
      <c r="AJ47" s="29">
        <f t="shared" si="41"/>
        <v>0.11471160338091857</v>
      </c>
      <c r="AK47" s="29">
        <f t="shared" si="41"/>
        <v>0.13373483467929037</v>
      </c>
      <c r="AL47" s="29">
        <f t="shared" si="41"/>
        <v>7.9344219724841292E-2</v>
      </c>
      <c r="AM47" s="29">
        <f t="shared" si="41"/>
        <v>5.2898618321947088E-2</v>
      </c>
      <c r="AN47" s="29">
        <f t="shared" si="41"/>
        <v>1.05722293016004E-2</v>
      </c>
      <c r="AO47" s="29">
        <f t="shared" si="41"/>
        <v>-3.2497203832064669E-2</v>
      </c>
    </row>
    <row r="48" spans="1:44" x14ac:dyDescent="0.2">
      <c r="B48" s="1" t="s">
        <v>4</v>
      </c>
      <c r="C48" s="2">
        <v>86766.8</v>
      </c>
      <c r="D48" s="2">
        <v>87543.8</v>
      </c>
      <c r="E48" s="36">
        <v>82687.399999999994</v>
      </c>
      <c r="F48" s="2">
        <v>79031</v>
      </c>
      <c r="G48" s="2">
        <v>64571.927382130001</v>
      </c>
      <c r="H48" s="2">
        <v>58188.483762340002</v>
      </c>
      <c r="I48" s="2">
        <v>46701.566292230003</v>
      </c>
      <c r="J48" s="2">
        <v>62187.945032799995</v>
      </c>
      <c r="K48" s="2">
        <v>95572.672298100006</v>
      </c>
      <c r="L48" s="2">
        <v>140364.17431142999</v>
      </c>
      <c r="M48" s="2">
        <v>180225.36997972999</v>
      </c>
      <c r="N48" s="2">
        <v>193512.01564941998</v>
      </c>
      <c r="O48" s="2">
        <v>203854.19032269999</v>
      </c>
      <c r="P48" s="2">
        <v>205947.09811231002</v>
      </c>
      <c r="Q48" s="2">
        <v>237962.94643016998</v>
      </c>
      <c r="R48" s="2">
        <v>250590.88417301999</v>
      </c>
      <c r="S48" s="2">
        <v>295196.04079241003</v>
      </c>
      <c r="T48" s="2">
        <v>391284.22113103996</v>
      </c>
      <c r="U48" s="2">
        <v>492561.28609721002</v>
      </c>
      <c r="V48" s="2">
        <v>436445.67169597</v>
      </c>
      <c r="W48" s="29">
        <f t="shared" si="5"/>
        <v>8.9550381021312742E-3</v>
      </c>
      <c r="X48" s="29">
        <f t="shared" si="41"/>
        <v>-5.5473945613510156E-2</v>
      </c>
      <c r="Y48" s="29">
        <f t="shared" si="41"/>
        <v>-4.4219554611706235E-2</v>
      </c>
      <c r="Z48" s="29">
        <f t="shared" si="41"/>
        <v>-0.18295444341929112</v>
      </c>
      <c r="AA48" s="29">
        <f t="shared" si="41"/>
        <v>-9.885787645788302E-2</v>
      </c>
      <c r="AB48" s="29">
        <f t="shared" si="41"/>
        <v>-0.19740877794695888</v>
      </c>
      <c r="AC48" s="29">
        <f t="shared" si="41"/>
        <v>0.33160298401269128</v>
      </c>
      <c r="AD48" s="29">
        <f t="shared" si="41"/>
        <v>0.53683599365908918</v>
      </c>
      <c r="AE48" s="29">
        <f t="shared" si="41"/>
        <v>0.46866432565180505</v>
      </c>
      <c r="AF48" s="29">
        <f t="shared" si="41"/>
        <v>0.2839841139225372</v>
      </c>
      <c r="AG48" s="29">
        <f t="shared" si="41"/>
        <v>7.3722393640719641E-2</v>
      </c>
      <c r="AH48" s="29">
        <f t="shared" si="41"/>
        <v>5.3444612411131187E-2</v>
      </c>
      <c r="AI48" s="29">
        <f t="shared" si="41"/>
        <v>1.0266690060660499E-2</v>
      </c>
      <c r="AJ48" s="29">
        <f t="shared" si="41"/>
        <v>0.15545666149857862</v>
      </c>
      <c r="AK48" s="29">
        <f t="shared" si="41"/>
        <v>5.3066823773572969E-2</v>
      </c>
      <c r="AL48" s="29">
        <f t="shared" si="41"/>
        <v>0.17799991714220731</v>
      </c>
      <c r="AM48" s="29">
        <f t="shared" si="41"/>
        <v>0.32550633159135689</v>
      </c>
      <c r="AN48" s="29">
        <f t="shared" si="41"/>
        <v>0.25883247904405704</v>
      </c>
      <c r="AO48" s="29">
        <f t="shared" si="41"/>
        <v>-0.11392615697808872</v>
      </c>
    </row>
    <row r="49" spans="1:41" x14ac:dyDescent="0.2">
      <c r="C49" s="2"/>
      <c r="D49" s="2"/>
      <c r="E49" s="36"/>
      <c r="AH49" s="6"/>
      <c r="AI49" s="6"/>
      <c r="AJ49" s="6"/>
      <c r="AK49" s="6"/>
      <c r="AL49" s="6"/>
      <c r="AM49" s="6"/>
      <c r="AN49" s="6"/>
      <c r="AO49" s="6"/>
    </row>
    <row r="50" spans="1:41" ht="14.25" x14ac:dyDescent="0.2">
      <c r="B50" s="1" t="s">
        <v>54</v>
      </c>
      <c r="C50" s="5">
        <f>+C51+C52+C53+C54</f>
        <v>426417.60000000009</v>
      </c>
      <c r="D50" s="5">
        <f t="shared" ref="D50:M50" si="44">+D51+D52+D53+D54</f>
        <v>562811.10000000009</v>
      </c>
      <c r="E50" s="37">
        <f t="shared" si="44"/>
        <v>731590.70693080011</v>
      </c>
      <c r="F50" s="5">
        <f t="shared" si="44"/>
        <v>901021.87349714036</v>
      </c>
      <c r="G50" s="5">
        <f t="shared" si="44"/>
        <v>1205633.8779143302</v>
      </c>
      <c r="H50" s="5">
        <f t="shared" si="44"/>
        <v>1306616.6239888398</v>
      </c>
      <c r="I50" s="5">
        <f t="shared" si="44"/>
        <v>1481514.5724023602</v>
      </c>
      <c r="J50" s="5">
        <f t="shared" si="44"/>
        <v>1654406.3301903494</v>
      </c>
      <c r="K50" s="5">
        <f t="shared" si="44"/>
        <v>1812769.6267179844</v>
      </c>
      <c r="L50" s="5">
        <f t="shared" si="44"/>
        <v>1952978.2762760501</v>
      </c>
      <c r="M50" s="5">
        <f t="shared" si="44"/>
        <v>2101648.983794</v>
      </c>
      <c r="N50" s="5">
        <f t="shared" ref="N50:V50" si="45">+N51+N52+N53+N54</f>
        <v>2251986.8606102304</v>
      </c>
      <c r="O50" s="5">
        <f t="shared" si="45"/>
        <v>2357346.93384628</v>
      </c>
      <c r="P50" s="5">
        <f t="shared" si="45"/>
        <v>2524657.8457588893</v>
      </c>
      <c r="Q50" s="5">
        <f t="shared" si="45"/>
        <v>2560262.5123543893</v>
      </c>
      <c r="R50" s="5">
        <f t="shared" si="45"/>
        <v>2476732.0597453197</v>
      </c>
      <c r="S50" s="5">
        <f t="shared" si="45"/>
        <v>2498860.9844029499</v>
      </c>
      <c r="T50" s="5">
        <f t="shared" si="45"/>
        <v>2484011.7814274095</v>
      </c>
      <c r="U50" s="5">
        <f t="shared" si="45"/>
        <v>2636111.7237094501</v>
      </c>
      <c r="V50" s="5">
        <f t="shared" si="45"/>
        <v>2644088.4682726399</v>
      </c>
      <c r="W50" s="31">
        <f t="shared" si="5"/>
        <v>0.31985898330650508</v>
      </c>
      <c r="X50" s="31">
        <f t="shared" ref="X50:AO54" si="46">+E50/D50-1</f>
        <v>0.29988677716342127</v>
      </c>
      <c r="Y50" s="31">
        <f t="shared" si="46"/>
        <v>0.23159283594121227</v>
      </c>
      <c r="Z50" s="31">
        <f t="shared" si="46"/>
        <v>0.33807392847733864</v>
      </c>
      <c r="AA50" s="31">
        <f t="shared" si="46"/>
        <v>8.3759048185675811E-2</v>
      </c>
      <c r="AB50" s="31">
        <f t="shared" si="46"/>
        <v>0.13385559712197126</v>
      </c>
      <c r="AC50" s="31">
        <f t="shared" si="46"/>
        <v>0.11669932986729603</v>
      </c>
      <c r="AD50" s="31">
        <f t="shared" si="46"/>
        <v>9.5722129224091068E-2</v>
      </c>
      <c r="AE50" s="31">
        <f t="shared" si="46"/>
        <v>7.734499050048238E-2</v>
      </c>
      <c r="AF50" s="31">
        <f t="shared" si="46"/>
        <v>7.6125120962142079E-2</v>
      </c>
      <c r="AG50" s="31">
        <f t="shared" si="46"/>
        <v>7.1533295034279742E-2</v>
      </c>
      <c r="AH50" s="31">
        <f t="shared" si="46"/>
        <v>4.6785385420721193E-2</v>
      </c>
      <c r="AI50" s="31">
        <f t="shared" si="46"/>
        <v>7.0974242064413717E-2</v>
      </c>
      <c r="AJ50" s="31">
        <f t="shared" si="46"/>
        <v>1.4102769076336896E-2</v>
      </c>
      <c r="AK50" s="31">
        <f t="shared" si="46"/>
        <v>-3.2625737480433625E-2</v>
      </c>
      <c r="AL50" s="31">
        <f t="shared" si="46"/>
        <v>8.934726940105886E-3</v>
      </c>
      <c r="AM50" s="31">
        <f t="shared" si="46"/>
        <v>-5.9423885795264475E-3</v>
      </c>
      <c r="AN50" s="31">
        <f t="shared" si="46"/>
        <v>6.123157040528926E-2</v>
      </c>
      <c r="AO50" s="31">
        <f t="shared" si="46"/>
        <v>3.0259508697776383E-3</v>
      </c>
    </row>
    <row r="51" spans="1:41" x14ac:dyDescent="0.2">
      <c r="B51" s="1" t="s">
        <v>6</v>
      </c>
      <c r="C51" s="2">
        <v>226948.40000000002</v>
      </c>
      <c r="D51" s="2">
        <v>274157.10000000003</v>
      </c>
      <c r="E51" s="36">
        <v>318804.07158746</v>
      </c>
      <c r="F51" s="2">
        <v>362271.39048534998</v>
      </c>
      <c r="G51" s="2">
        <v>414960.67791160994</v>
      </c>
      <c r="H51" s="2">
        <v>448289.04956082994</v>
      </c>
      <c r="I51" s="2">
        <v>483541.77067045006</v>
      </c>
      <c r="J51" s="2">
        <v>527366.77431182994</v>
      </c>
      <c r="K51" s="2">
        <v>575845.00719866995</v>
      </c>
      <c r="L51" s="2">
        <v>630063.42078555014</v>
      </c>
      <c r="M51" s="2">
        <v>654387.36677297985</v>
      </c>
      <c r="N51" s="2">
        <v>680129.49796369008</v>
      </c>
      <c r="O51" s="2">
        <v>716948.99717542005</v>
      </c>
      <c r="P51" s="2">
        <v>740995.73201191996</v>
      </c>
      <c r="Q51" s="2">
        <v>885996.47700225981</v>
      </c>
      <c r="R51" s="2">
        <v>825386.40877048997</v>
      </c>
      <c r="S51" s="2">
        <v>848947.80657370016</v>
      </c>
      <c r="T51" s="2">
        <v>862345.67920162017</v>
      </c>
      <c r="U51" s="2">
        <v>863796.38395731989</v>
      </c>
      <c r="V51" s="2">
        <v>864788.19503734994</v>
      </c>
      <c r="W51" s="29">
        <f t="shared" si="5"/>
        <v>0.20801512590527182</v>
      </c>
      <c r="X51" s="29">
        <f t="shared" si="46"/>
        <v>0.16285177946316165</v>
      </c>
      <c r="Y51" s="29">
        <f t="shared" si="46"/>
        <v>0.13634493023080863</v>
      </c>
      <c r="Z51" s="29">
        <f t="shared" si="46"/>
        <v>0.14544148064154316</v>
      </c>
      <c r="AA51" s="29">
        <f t="shared" si="46"/>
        <v>8.0316939467501181E-2</v>
      </c>
      <c r="AB51" s="29">
        <f t="shared" si="46"/>
        <v>7.8638372148852831E-2</v>
      </c>
      <c r="AC51" s="29">
        <f t="shared" si="46"/>
        <v>9.0633335731502118E-2</v>
      </c>
      <c r="AD51" s="29">
        <f t="shared" si="46"/>
        <v>9.1925079940995635E-2</v>
      </c>
      <c r="AE51" s="29">
        <f t="shared" si="46"/>
        <v>9.4154525799638566E-2</v>
      </c>
      <c r="AF51" s="29">
        <f t="shared" si="46"/>
        <v>3.8605551734939736E-2</v>
      </c>
      <c r="AG51" s="29">
        <f t="shared" si="46"/>
        <v>3.9337756958319536E-2</v>
      </c>
      <c r="AH51" s="29">
        <f t="shared" si="46"/>
        <v>5.4136012806337064E-2</v>
      </c>
      <c r="AI51" s="29">
        <f t="shared" si="46"/>
        <v>3.3540370279109721E-2</v>
      </c>
      <c r="AJ51" s="29">
        <f t="shared" si="46"/>
        <v>0.19568364394844751</v>
      </c>
      <c r="AK51" s="29">
        <f t="shared" si="46"/>
        <v>-6.8408926903233302E-2</v>
      </c>
      <c r="AL51" s="29">
        <f t="shared" si="46"/>
        <v>2.8545899899548477E-2</v>
      </c>
      <c r="AM51" s="29">
        <f t="shared" si="46"/>
        <v>1.5781738905708442E-2</v>
      </c>
      <c r="AN51" s="29">
        <f t="shared" si="46"/>
        <v>1.6822775259253131E-3</v>
      </c>
      <c r="AO51" s="29">
        <f t="shared" si="46"/>
        <v>1.1482000833185069E-3</v>
      </c>
    </row>
    <row r="52" spans="1:41" x14ac:dyDescent="0.2">
      <c r="B52" s="1" t="s">
        <v>7</v>
      </c>
      <c r="C52" s="2">
        <v>196324.70000000004</v>
      </c>
      <c r="D52" s="2">
        <v>283344.69999999995</v>
      </c>
      <c r="E52" s="36">
        <v>407188.73534334009</v>
      </c>
      <c r="F52" s="2">
        <v>529648.98301179032</v>
      </c>
      <c r="G52" s="2">
        <v>780867.70918886038</v>
      </c>
      <c r="H52" s="2">
        <v>851088.66625342984</v>
      </c>
      <c r="I52" s="2">
        <v>991488.91255329002</v>
      </c>
      <c r="J52" s="2">
        <v>1118624.2609165497</v>
      </c>
      <c r="K52" s="2">
        <v>1222293.2909393345</v>
      </c>
      <c r="L52" s="2">
        <v>1312039.1396198901</v>
      </c>
      <c r="M52" s="2">
        <v>1424010.0719256301</v>
      </c>
      <c r="N52" s="2">
        <v>1529195.7170458101</v>
      </c>
      <c r="O52" s="2">
        <v>1617641.4824704698</v>
      </c>
      <c r="P52" s="2">
        <v>1762583.2404570198</v>
      </c>
      <c r="Q52" s="2">
        <v>1593352.1904168096</v>
      </c>
      <c r="R52" s="2">
        <v>1626253.9747239398</v>
      </c>
      <c r="S52" s="2">
        <v>1641817.6776608399</v>
      </c>
      <c r="T52" s="2">
        <v>1593953.9276883898</v>
      </c>
      <c r="U52" s="2">
        <v>1736025.6258854698</v>
      </c>
      <c r="V52" s="2">
        <v>1770167.5347504998</v>
      </c>
      <c r="W52" s="29">
        <f t="shared" si="5"/>
        <v>0.44324529720407013</v>
      </c>
      <c r="X52" s="29">
        <f t="shared" si="46"/>
        <v>0.43707906074594005</v>
      </c>
      <c r="Y52" s="29">
        <f t="shared" si="46"/>
        <v>0.30074566666288582</v>
      </c>
      <c r="Z52" s="29">
        <f t="shared" si="46"/>
        <v>0.47431173141982175</v>
      </c>
      <c r="AA52" s="29">
        <f t="shared" si="46"/>
        <v>8.9926829139231224E-2</v>
      </c>
      <c r="AB52" s="29">
        <f t="shared" si="46"/>
        <v>0.16496547523998273</v>
      </c>
      <c r="AC52" s="29">
        <f t="shared" si="46"/>
        <v>0.12822669699438172</v>
      </c>
      <c r="AD52" s="29">
        <f t="shared" si="46"/>
        <v>9.2675470794673309E-2</v>
      </c>
      <c r="AE52" s="29">
        <f t="shared" si="46"/>
        <v>7.3424152243841467E-2</v>
      </c>
      <c r="AF52" s="29">
        <f t="shared" si="46"/>
        <v>8.5341152504169182E-2</v>
      </c>
      <c r="AG52" s="29">
        <f t="shared" si="46"/>
        <v>7.386580136890597E-2</v>
      </c>
      <c r="AH52" s="29">
        <f t="shared" si="46"/>
        <v>5.783809386775185E-2</v>
      </c>
      <c r="AI52" s="29">
        <f t="shared" si="46"/>
        <v>8.9600668354025137E-2</v>
      </c>
      <c r="AJ52" s="29">
        <f t="shared" si="46"/>
        <v>-9.601308247792617E-2</v>
      </c>
      <c r="AK52" s="29">
        <f t="shared" si="46"/>
        <v>2.0649411037319654E-2</v>
      </c>
      <c r="AL52" s="29">
        <f t="shared" si="46"/>
        <v>9.5702781845881102E-3</v>
      </c>
      <c r="AM52" s="29">
        <f t="shared" si="46"/>
        <v>-2.9152902069274456E-2</v>
      </c>
      <c r="AN52" s="29">
        <f t="shared" si="46"/>
        <v>8.9131621516261639E-2</v>
      </c>
      <c r="AO52" s="29">
        <f t="shared" si="46"/>
        <v>1.9666707884922863E-2</v>
      </c>
    </row>
    <row r="53" spans="1:41" x14ac:dyDescent="0.2">
      <c r="B53" s="1" t="s">
        <v>8</v>
      </c>
      <c r="C53" s="2">
        <v>1999.6</v>
      </c>
      <c r="D53" s="2">
        <v>2370</v>
      </c>
      <c r="E53" s="36">
        <v>2976.9</v>
      </c>
      <c r="F53" s="2">
        <v>3050.8</v>
      </c>
      <c r="G53" s="2">
        <v>3803.1770027099997</v>
      </c>
      <c r="H53" s="2">
        <v>3503.2449161199997</v>
      </c>
      <c r="I53" s="2">
        <v>3239.2697360799998</v>
      </c>
      <c r="J53" s="2">
        <v>5619.8281350899997</v>
      </c>
      <c r="K53" s="2">
        <v>5160.5487943999997</v>
      </c>
      <c r="L53" s="2">
        <v>5277.7933704699999</v>
      </c>
      <c r="M53" s="2">
        <v>4737.8428239400018</v>
      </c>
      <c r="N53" s="2">
        <v>5396.4554650199962</v>
      </c>
      <c r="O53" s="2">
        <v>5151.25970039</v>
      </c>
      <c r="P53" s="2">
        <v>5420.3646746800005</v>
      </c>
      <c r="Q53" s="2">
        <v>6362.5042209299972</v>
      </c>
      <c r="R53" s="2">
        <v>7349.765531580003</v>
      </c>
      <c r="S53" s="2">
        <v>8094.4377077999998</v>
      </c>
      <c r="T53" s="2">
        <v>7642.0955363499997</v>
      </c>
      <c r="U53" s="2">
        <v>8083.4889784900006</v>
      </c>
      <c r="V53" s="2">
        <v>8994.5952501200009</v>
      </c>
      <c r="W53" s="29">
        <f t="shared" si="5"/>
        <v>0.18523704740948199</v>
      </c>
      <c r="X53" s="29">
        <f t="shared" si="46"/>
        <v>0.25607594936708855</v>
      </c>
      <c r="Y53" s="29">
        <f t="shared" si="46"/>
        <v>2.482448184352859E-2</v>
      </c>
      <c r="Z53" s="29">
        <f t="shared" si="46"/>
        <v>0.24661629825291698</v>
      </c>
      <c r="AA53" s="29">
        <f t="shared" si="46"/>
        <v>-7.886356232599212E-2</v>
      </c>
      <c r="AB53" s="29">
        <f t="shared" si="46"/>
        <v>-7.5351620100933214E-2</v>
      </c>
      <c r="AC53" s="29">
        <f t="shared" si="46"/>
        <v>0.73490588711850569</v>
      </c>
      <c r="AD53" s="29">
        <f t="shared" si="46"/>
        <v>-8.1724801835535987E-2</v>
      </c>
      <c r="AE53" s="29">
        <f t="shared" si="46"/>
        <v>2.2719400734516615E-2</v>
      </c>
      <c r="AF53" s="29">
        <f t="shared" si="46"/>
        <v>-0.1023061170888383</v>
      </c>
      <c r="AG53" s="29">
        <f t="shared" si="46"/>
        <v>0.1390110785761125</v>
      </c>
      <c r="AH53" s="29">
        <f t="shared" si="46"/>
        <v>-4.5436447353149334E-2</v>
      </c>
      <c r="AI53" s="29">
        <f t="shared" si="46"/>
        <v>5.224061490621934E-2</v>
      </c>
      <c r="AJ53" s="29">
        <f t="shared" si="46"/>
        <v>0.17381478974117504</v>
      </c>
      <c r="AK53" s="29">
        <f t="shared" si="46"/>
        <v>0.15516866887134251</v>
      </c>
      <c r="AL53" s="29">
        <f t="shared" si="46"/>
        <v>0.10131917447166683</v>
      </c>
      <c r="AM53" s="29">
        <f t="shared" si="46"/>
        <v>-5.588308759410332E-2</v>
      </c>
      <c r="AN53" s="29">
        <f t="shared" si="46"/>
        <v>5.7758168559983503E-2</v>
      </c>
      <c r="AO53" s="29">
        <f t="shared" si="46"/>
        <v>0.1127120076559065</v>
      </c>
    </row>
    <row r="54" spans="1:41" x14ac:dyDescent="0.2">
      <c r="B54" s="18" t="s">
        <v>39</v>
      </c>
      <c r="C54" s="2">
        <v>1144.9000000000001</v>
      </c>
      <c r="D54" s="2">
        <v>2939.3</v>
      </c>
      <c r="E54" s="36">
        <v>2621</v>
      </c>
      <c r="F54" s="2">
        <v>6050.7</v>
      </c>
      <c r="G54" s="2">
        <v>6002.3138111499993</v>
      </c>
      <c r="H54" s="2">
        <v>3735.6632584600002</v>
      </c>
      <c r="I54" s="2">
        <v>3244.6194425399999</v>
      </c>
      <c r="J54" s="2">
        <v>2795.4668268800001</v>
      </c>
      <c r="K54" s="2">
        <v>9470.77978558</v>
      </c>
      <c r="L54" s="2">
        <v>5597.92250014</v>
      </c>
      <c r="M54" s="2">
        <v>18513.702271449998</v>
      </c>
      <c r="N54" s="2">
        <v>37265.19013571</v>
      </c>
      <c r="O54" s="2">
        <v>17605.194500000001</v>
      </c>
      <c r="P54" s="2">
        <v>15658.508615270001</v>
      </c>
      <c r="Q54" s="2">
        <v>74551.340714389997</v>
      </c>
      <c r="R54" s="2">
        <v>17741.910719310003</v>
      </c>
      <c r="S54" s="2">
        <v>1.06246061</v>
      </c>
      <c r="T54" s="2">
        <v>20070.079001050002</v>
      </c>
      <c r="U54" s="2">
        <v>28206.22488817</v>
      </c>
      <c r="V54" s="2">
        <v>138.14323467</v>
      </c>
      <c r="W54" s="29">
        <f t="shared" si="5"/>
        <v>1.5672984540134509</v>
      </c>
      <c r="X54" s="29">
        <f t="shared" si="46"/>
        <v>-0.10829108971523838</v>
      </c>
      <c r="Y54" s="29">
        <f t="shared" si="46"/>
        <v>1.308546356352537</v>
      </c>
      <c r="Z54" s="29">
        <f t="shared" si="46"/>
        <v>-7.9967919166378243E-3</v>
      </c>
      <c r="AA54" s="29">
        <f t="shared" si="46"/>
        <v>-0.37762946490392268</v>
      </c>
      <c r="AB54" s="29">
        <f t="shared" si="46"/>
        <v>-0.13144755882585346</v>
      </c>
      <c r="AC54" s="29">
        <f t="shared" si="46"/>
        <v>-0.1384299834276983</v>
      </c>
      <c r="AD54" s="29">
        <f t="shared" si="46"/>
        <v>2.3879063398331462</v>
      </c>
      <c r="AE54" s="29">
        <f t="shared" si="46"/>
        <v>-0.40892697044194048</v>
      </c>
      <c r="AF54" s="29">
        <f t="shared" si="46"/>
        <v>2.307245191584375</v>
      </c>
      <c r="AG54" s="29">
        <f t="shared" si="46"/>
        <v>1.0128437623833184</v>
      </c>
      <c r="AH54" s="29">
        <f t="shared" si="46"/>
        <v>-0.52756998056667559</v>
      </c>
      <c r="AI54" s="29">
        <f t="shared" si="46"/>
        <v>-0.11057451735225077</v>
      </c>
      <c r="AJ54" s="29">
        <f t="shared" si="46"/>
        <v>3.7610754348398396</v>
      </c>
      <c r="AK54" s="29">
        <f t="shared" si="46"/>
        <v>-0.76201754992871062</v>
      </c>
      <c r="AL54" s="29">
        <f>+S54/R54-1</f>
        <v>-0.99994011577293962</v>
      </c>
      <c r="AM54" s="44">
        <f>+T54/S54-1</f>
        <v>18889.186433405754</v>
      </c>
      <c r="AN54" s="29">
        <f>+U54/T54-1</f>
        <v>0.40538683911978324</v>
      </c>
      <c r="AO54" s="29">
        <f>+V54/U54-1</f>
        <v>-0.99510238483818025</v>
      </c>
    </row>
    <row r="55" spans="1:41" ht="9.75" customHeight="1" x14ac:dyDescent="0.2">
      <c r="C55" s="2"/>
      <c r="D55" s="2"/>
      <c r="E55" s="36"/>
      <c r="AH55" s="6"/>
      <c r="AI55" s="6"/>
      <c r="AJ55" s="6"/>
      <c r="AK55" s="6"/>
      <c r="AL55" s="6"/>
      <c r="AM55" s="6"/>
      <c r="AN55" s="6"/>
      <c r="AO55" s="6"/>
    </row>
    <row r="56" spans="1:41" x14ac:dyDescent="0.2">
      <c r="A56" s="15"/>
      <c r="B56" s="16" t="s">
        <v>9</v>
      </c>
      <c r="C56" s="20">
        <f>+C58+C59</f>
        <v>78143.7</v>
      </c>
      <c r="D56" s="20">
        <f t="shared" ref="D56:O56" si="47">+D58+D59</f>
        <v>137960.5</v>
      </c>
      <c r="E56" s="38">
        <f t="shared" si="47"/>
        <v>218554.7</v>
      </c>
      <c r="F56" s="20">
        <f t="shared" si="47"/>
        <v>246165.9</v>
      </c>
      <c r="G56" s="20">
        <f t="shared" si="47"/>
        <v>287728.98339289997</v>
      </c>
      <c r="H56" s="20">
        <f t="shared" si="47"/>
        <v>242972.29854454001</v>
      </c>
      <c r="I56" s="20">
        <f t="shared" si="47"/>
        <v>281746.90474829002</v>
      </c>
      <c r="J56" s="20">
        <f t="shared" si="47"/>
        <v>289094.47976492997</v>
      </c>
      <c r="K56" s="20">
        <f t="shared" si="47"/>
        <v>368519.90128671</v>
      </c>
      <c r="L56" s="20">
        <f t="shared" si="47"/>
        <v>395069.38001900003</v>
      </c>
      <c r="M56" s="20">
        <f t="shared" si="47"/>
        <v>356422.23294765002</v>
      </c>
      <c r="N56" s="20">
        <f t="shared" si="47"/>
        <v>435012.65478405997</v>
      </c>
      <c r="O56" s="20">
        <f t="shared" si="47"/>
        <v>375096.01491437992</v>
      </c>
      <c r="P56" s="20">
        <f t="shared" ref="P56:V56" si="48">+P58+P59</f>
        <v>559173.26544684009</v>
      </c>
      <c r="Q56" s="20">
        <f t="shared" si="48"/>
        <v>370045.28560085001</v>
      </c>
      <c r="R56" s="20">
        <f t="shared" si="48"/>
        <v>480780.81662382995</v>
      </c>
      <c r="S56" s="20">
        <f t="shared" si="48"/>
        <v>474906.4200106801</v>
      </c>
      <c r="T56" s="20">
        <f t="shared" si="48"/>
        <v>474029.8037698199</v>
      </c>
      <c r="U56" s="20">
        <f t="shared" si="48"/>
        <v>592601.64233667008</v>
      </c>
      <c r="V56" s="20">
        <f t="shared" si="48"/>
        <v>668021.84608039993</v>
      </c>
      <c r="W56" s="28">
        <f t="shared" si="5"/>
        <v>0.76547181666596287</v>
      </c>
      <c r="X56" s="28">
        <f t="shared" ref="X56:AO56" si="49">+E56/D56-1</f>
        <v>0.58418315387375386</v>
      </c>
      <c r="Y56" s="28">
        <f t="shared" si="49"/>
        <v>0.12633542083515015</v>
      </c>
      <c r="Z56" s="28">
        <f t="shared" si="49"/>
        <v>0.16884175831380377</v>
      </c>
      <c r="AA56" s="28">
        <f t="shared" si="49"/>
        <v>-0.15555153436608704</v>
      </c>
      <c r="AB56" s="28">
        <f t="shared" si="49"/>
        <v>0.1595844729461704</v>
      </c>
      <c r="AC56" s="28">
        <f t="shared" si="49"/>
        <v>2.6078636154687196E-2</v>
      </c>
      <c r="AD56" s="28">
        <f t="shared" si="49"/>
        <v>0.27473863072848315</v>
      </c>
      <c r="AE56" s="28">
        <f t="shared" si="49"/>
        <v>7.2043541311041626E-2</v>
      </c>
      <c r="AF56" s="28">
        <f t="shared" si="49"/>
        <v>-9.7823696358070977E-2</v>
      </c>
      <c r="AG56" s="28">
        <f t="shared" si="49"/>
        <v>0.22049809066751735</v>
      </c>
      <c r="AH56" s="28">
        <f t="shared" si="49"/>
        <v>-0.1377353950758573</v>
      </c>
      <c r="AI56" s="28">
        <f t="shared" si="49"/>
        <v>0.49074701733229009</v>
      </c>
      <c r="AJ56" s="28">
        <f t="shared" si="49"/>
        <v>-0.33822786519462145</v>
      </c>
      <c r="AK56" s="28">
        <f t="shared" si="49"/>
        <v>0.29924859289364125</v>
      </c>
      <c r="AL56" s="28">
        <f t="shared" si="49"/>
        <v>-1.2218450508074352E-2</v>
      </c>
      <c r="AM56" s="28">
        <f t="shared" si="49"/>
        <v>-1.8458715315755603E-3</v>
      </c>
      <c r="AN56" s="28">
        <f t="shared" si="49"/>
        <v>0.25013583032940789</v>
      </c>
      <c r="AO56" s="28">
        <f t="shared" si="49"/>
        <v>0.12726965022631842</v>
      </c>
    </row>
    <row r="57" spans="1:41" x14ac:dyDescent="0.2">
      <c r="C57" s="2"/>
      <c r="D57" s="2"/>
      <c r="E57" s="36"/>
      <c r="F57" s="2"/>
      <c r="AH57" s="6"/>
      <c r="AI57" s="6"/>
      <c r="AJ57" s="6"/>
      <c r="AK57" s="6"/>
      <c r="AL57" s="6"/>
      <c r="AM57" s="6"/>
      <c r="AN57" s="6"/>
      <c r="AO57" s="6"/>
    </row>
    <row r="58" spans="1:41" x14ac:dyDescent="0.2">
      <c r="B58" s="1" t="s">
        <v>13</v>
      </c>
      <c r="C58" s="2">
        <v>16771.8</v>
      </c>
      <c r="D58" s="2">
        <v>27407.5</v>
      </c>
      <c r="E58" s="36">
        <v>38057.599999999999</v>
      </c>
      <c r="F58" s="2">
        <v>56312.19999999999</v>
      </c>
      <c r="G58" s="2">
        <v>46313.715201029998</v>
      </c>
      <c r="H58" s="2">
        <v>47660.012773749993</v>
      </c>
      <c r="I58" s="2">
        <v>37051.77615107</v>
      </c>
      <c r="J58" s="2">
        <v>53069.709076689993</v>
      </c>
      <c r="K58" s="2">
        <v>57485.937022699996</v>
      </c>
      <c r="L58" s="2">
        <v>61062.488584389997</v>
      </c>
      <c r="M58" s="2">
        <v>55536.175567549995</v>
      </c>
      <c r="N58" s="2">
        <v>63455.669121149993</v>
      </c>
      <c r="O58" s="2">
        <v>43857.104717100003</v>
      </c>
      <c r="P58" s="2">
        <v>43332.414659739996</v>
      </c>
      <c r="Q58" s="2">
        <v>52251.70100239</v>
      </c>
      <c r="R58" s="2">
        <v>211105.52031066001</v>
      </c>
      <c r="S58" s="2">
        <v>174659.96682782003</v>
      </c>
      <c r="T58" s="2">
        <v>203821.53149316998</v>
      </c>
      <c r="U58" s="2">
        <v>214236.11248210003</v>
      </c>
      <c r="V58" s="2">
        <v>223773.00239938</v>
      </c>
      <c r="W58" s="29">
        <f t="shared" si="5"/>
        <v>0.63414183331544627</v>
      </c>
      <c r="X58" s="29">
        <f t="shared" ref="X58:AO63" si="50">+E58/D58-1</f>
        <v>0.38858341694791565</v>
      </c>
      <c r="Y58" s="29">
        <f t="shared" si="50"/>
        <v>0.47965715126544994</v>
      </c>
      <c r="Z58" s="29">
        <f t="shared" si="50"/>
        <v>-0.17755450504455506</v>
      </c>
      <c r="AA58" s="29">
        <f t="shared" si="50"/>
        <v>2.90690903736881E-2</v>
      </c>
      <c r="AB58" s="29">
        <f t="shared" si="50"/>
        <v>-0.22258148928828569</v>
      </c>
      <c r="AC58" s="29">
        <f t="shared" si="50"/>
        <v>0.43231214774456683</v>
      </c>
      <c r="AD58" s="29">
        <f t="shared" si="50"/>
        <v>8.3215604962676437E-2</v>
      </c>
      <c r="AE58" s="29">
        <f t="shared" si="50"/>
        <v>6.2216113138726437E-2</v>
      </c>
      <c r="AF58" s="29">
        <f t="shared" si="50"/>
        <v>-9.050258423717028E-2</v>
      </c>
      <c r="AG58" s="29">
        <f t="shared" si="50"/>
        <v>0.14260062873734114</v>
      </c>
      <c r="AH58" s="29">
        <f t="shared" si="50"/>
        <v>-0.30885442822503817</v>
      </c>
      <c r="AI58" s="29">
        <f t="shared" si="50"/>
        <v>-1.1963627347142847E-2</v>
      </c>
      <c r="AJ58" s="29">
        <f t="shared" si="50"/>
        <v>0.20583404854511578</v>
      </c>
      <c r="AK58" s="29">
        <f t="shared" si="50"/>
        <v>3.0401655115687811</v>
      </c>
      <c r="AL58" s="29">
        <f t="shared" si="50"/>
        <v>-0.17264140430438391</v>
      </c>
      <c r="AM58" s="29">
        <f t="shared" si="50"/>
        <v>0.16696192719478442</v>
      </c>
      <c r="AN58" s="29">
        <f t="shared" si="50"/>
        <v>5.1096569202645936E-2</v>
      </c>
      <c r="AO58" s="29">
        <f t="shared" si="50"/>
        <v>4.4515790576982184E-2</v>
      </c>
    </row>
    <row r="59" spans="1:41" x14ac:dyDescent="0.2">
      <c r="B59" s="1" t="s">
        <v>5</v>
      </c>
      <c r="C59" s="5">
        <f>+C60+C61+C62+C63</f>
        <v>61371.9</v>
      </c>
      <c r="D59" s="5">
        <f t="shared" ref="D59:O59" si="51">+D60+D61+D62+D63</f>
        <v>110553</v>
      </c>
      <c r="E59" s="37">
        <f t="shared" si="51"/>
        <v>180497.1</v>
      </c>
      <c r="F59" s="5">
        <f t="shared" si="51"/>
        <v>189853.7</v>
      </c>
      <c r="G59" s="5">
        <f t="shared" si="51"/>
        <v>241415.26819186998</v>
      </c>
      <c r="H59" s="5">
        <f t="shared" si="51"/>
        <v>195312.28577079001</v>
      </c>
      <c r="I59" s="5">
        <f t="shared" si="51"/>
        <v>244695.12859722003</v>
      </c>
      <c r="J59" s="5">
        <f t="shared" si="51"/>
        <v>236024.77068823998</v>
      </c>
      <c r="K59" s="5">
        <f t="shared" si="51"/>
        <v>311033.96426401002</v>
      </c>
      <c r="L59" s="5">
        <f t="shared" si="51"/>
        <v>334006.89143461001</v>
      </c>
      <c r="M59" s="5">
        <f t="shared" si="51"/>
        <v>300886.05738010001</v>
      </c>
      <c r="N59" s="5">
        <f t="shared" si="51"/>
        <v>371556.98566290998</v>
      </c>
      <c r="O59" s="5">
        <f t="shared" si="51"/>
        <v>331238.91019727994</v>
      </c>
      <c r="P59" s="5">
        <f t="shared" ref="P59:V59" si="52">+P60+P61+P62+P63</f>
        <v>515840.85078710003</v>
      </c>
      <c r="Q59" s="5">
        <f t="shared" si="52"/>
        <v>317793.58459846</v>
      </c>
      <c r="R59" s="5">
        <f t="shared" si="52"/>
        <v>269675.29631316994</v>
      </c>
      <c r="S59" s="5">
        <f t="shared" si="52"/>
        <v>300246.4531828601</v>
      </c>
      <c r="T59" s="5">
        <f t="shared" si="52"/>
        <v>270208.27227664995</v>
      </c>
      <c r="U59" s="5">
        <f t="shared" si="52"/>
        <v>378365.52985456999</v>
      </c>
      <c r="V59" s="5">
        <f t="shared" si="52"/>
        <v>444248.84368101996</v>
      </c>
      <c r="W59" s="31">
        <f t="shared" si="5"/>
        <v>0.80136186104715668</v>
      </c>
      <c r="X59" s="31">
        <f t="shared" si="50"/>
        <v>0.63267482564923627</v>
      </c>
      <c r="Y59" s="31">
        <f t="shared" si="50"/>
        <v>5.1837951967095286E-2</v>
      </c>
      <c r="Z59" s="31">
        <f t="shared" si="50"/>
        <v>0.2715857957567851</v>
      </c>
      <c r="AA59" s="31">
        <f t="shared" si="50"/>
        <v>-0.19096962162491993</v>
      </c>
      <c r="AB59" s="31">
        <f t="shared" si="50"/>
        <v>0.25284043260024913</v>
      </c>
      <c r="AC59" s="31">
        <f t="shared" si="50"/>
        <v>-3.5433308209628755E-2</v>
      </c>
      <c r="AD59" s="31">
        <f t="shared" si="50"/>
        <v>0.31780220930644631</v>
      </c>
      <c r="AE59" s="31">
        <f t="shared" si="50"/>
        <v>7.3859866799306229E-2</v>
      </c>
      <c r="AF59" s="31">
        <f t="shared" si="50"/>
        <v>-9.9162127799971467E-2</v>
      </c>
      <c r="AG59" s="31">
        <f t="shared" si="50"/>
        <v>0.23487604875467394</v>
      </c>
      <c r="AH59" s="31">
        <f t="shared" si="50"/>
        <v>-0.108511149087123</v>
      </c>
      <c r="AI59" s="31">
        <f t="shared" si="50"/>
        <v>0.55730753515604348</v>
      </c>
      <c r="AJ59" s="31">
        <f t="shared" si="50"/>
        <v>-0.38393094669886652</v>
      </c>
      <c r="AK59" s="31">
        <f t="shared" si="50"/>
        <v>-0.15141365533256035</v>
      </c>
      <c r="AL59" s="31">
        <f t="shared" si="50"/>
        <v>0.11336283778173106</v>
      </c>
      <c r="AM59" s="31">
        <f t="shared" si="50"/>
        <v>-0.10004508159140812</v>
      </c>
      <c r="AN59" s="31">
        <f t="shared" si="50"/>
        <v>0.40027367284738169</v>
      </c>
      <c r="AO59" s="31">
        <f t="shared" si="50"/>
        <v>0.17412609930871126</v>
      </c>
    </row>
    <row r="60" spans="1:41" x14ac:dyDescent="0.2">
      <c r="B60" s="1" t="s">
        <v>6</v>
      </c>
      <c r="C60" s="2">
        <v>594.6</v>
      </c>
      <c r="D60" s="2">
        <v>335.4</v>
      </c>
      <c r="E60" s="36">
        <v>703.7</v>
      </c>
      <c r="F60" s="2">
        <v>16268</v>
      </c>
      <c r="G60" s="2">
        <v>13468.58545656</v>
      </c>
      <c r="H60" s="2">
        <v>7329.5985002999996</v>
      </c>
      <c r="I60" s="2">
        <v>9661.1729336600001</v>
      </c>
      <c r="J60" s="2">
        <v>11304.4547373</v>
      </c>
      <c r="K60" s="2">
        <v>9440.3236195300015</v>
      </c>
      <c r="L60" s="2">
        <v>10684.045792339999</v>
      </c>
      <c r="M60" s="2">
        <v>13232.199643280001</v>
      </c>
      <c r="N60" s="2">
        <v>10660.07721295</v>
      </c>
      <c r="O60" s="2">
        <v>12865.494429320001</v>
      </c>
      <c r="P60" s="2">
        <v>14682.051106590001</v>
      </c>
      <c r="Q60" s="2">
        <v>11663.239216100001</v>
      </c>
      <c r="R60" s="2">
        <v>13735.862776399998</v>
      </c>
      <c r="S60" s="2">
        <v>11546.159476500001</v>
      </c>
      <c r="T60" s="2">
        <v>2761.97794484</v>
      </c>
      <c r="U60" s="2">
        <v>3718.4369530500007</v>
      </c>
      <c r="V60" s="2">
        <v>4158.3194766600009</v>
      </c>
      <c r="W60" s="29">
        <f t="shared" si="5"/>
        <v>-0.43592330978809291</v>
      </c>
      <c r="X60" s="29">
        <f t="shared" si="50"/>
        <v>1.0980918306499703</v>
      </c>
      <c r="Y60" s="29">
        <f t="shared" si="50"/>
        <v>22.117805883188858</v>
      </c>
      <c r="Z60" s="29">
        <f t="shared" si="50"/>
        <v>-0.172081051354807</v>
      </c>
      <c r="AA60" s="29">
        <f t="shared" si="50"/>
        <v>-0.45580042359013651</v>
      </c>
      <c r="AB60" s="29">
        <f t="shared" si="50"/>
        <v>0.31810397708204197</v>
      </c>
      <c r="AC60" s="29">
        <f t="shared" si="50"/>
        <v>0.1700913351747102</v>
      </c>
      <c r="AD60" s="29">
        <f t="shared" si="50"/>
        <v>-0.16490234700300421</v>
      </c>
      <c r="AE60" s="29">
        <f t="shared" si="50"/>
        <v>0.13174571369958166</v>
      </c>
      <c r="AF60" s="29">
        <f t="shared" si="50"/>
        <v>0.23850083577579939</v>
      </c>
      <c r="AG60" s="29">
        <f t="shared" si="50"/>
        <v>-0.1943835869825512</v>
      </c>
      <c r="AH60" s="29">
        <f t="shared" si="50"/>
        <v>0.20688566999222391</v>
      </c>
      <c r="AI60" s="29">
        <f t="shared" si="50"/>
        <v>0.1411960253257063</v>
      </c>
      <c r="AJ60" s="29">
        <f t="shared" si="50"/>
        <v>-0.20561240855066998</v>
      </c>
      <c r="AK60" s="29">
        <f t="shared" si="50"/>
        <v>0.17770565465543542</v>
      </c>
      <c r="AL60" s="29">
        <f t="shared" si="50"/>
        <v>-0.15941505353869667</v>
      </c>
      <c r="AM60" s="29">
        <f t="shared" si="50"/>
        <v>-0.76078816939420613</v>
      </c>
      <c r="AN60" s="29">
        <f t="shared" si="50"/>
        <v>0.34629494779162973</v>
      </c>
      <c r="AO60" s="29">
        <f t="shared" si="50"/>
        <v>0.11829769582329264</v>
      </c>
    </row>
    <row r="61" spans="1:41" x14ac:dyDescent="0.2">
      <c r="B61" s="1" t="s">
        <v>56</v>
      </c>
      <c r="C61" s="2">
        <f>50916.4-3000</f>
        <v>47916.4</v>
      </c>
      <c r="D61" s="2">
        <f>112745.6-3500</f>
        <v>109245.6</v>
      </c>
      <c r="E61" s="36">
        <f>179289.5-3500</f>
        <v>175789.5</v>
      </c>
      <c r="F61" s="2">
        <f>160426.7-2659.2</f>
        <v>157767.5</v>
      </c>
      <c r="G61" s="2">
        <f>218166.70251617-4500</f>
        <v>213666.70251616999</v>
      </c>
      <c r="H61" s="2">
        <f>169577.20571755-4500</f>
        <v>165077.20571755001</v>
      </c>
      <c r="I61" s="2">
        <v>230927.46895212002</v>
      </c>
      <c r="J61" s="2">
        <v>184142.18724633998</v>
      </c>
      <c r="K61" s="2">
        <v>239629.19348934002</v>
      </c>
      <c r="L61" s="2">
        <v>234506.98824341001</v>
      </c>
      <c r="M61" s="2">
        <v>206975.23713112998</v>
      </c>
      <c r="N61" s="2">
        <v>329948.42963635002</v>
      </c>
      <c r="O61" s="2">
        <v>289793.19264075998</v>
      </c>
      <c r="P61" s="2">
        <v>372774.49602214003</v>
      </c>
      <c r="Q61" s="2">
        <v>286245.09106019</v>
      </c>
      <c r="R61" s="2">
        <v>220505.18514659992</v>
      </c>
      <c r="S61" s="2">
        <v>228690.11458440009</v>
      </c>
      <c r="T61" s="2">
        <v>251265.42866357995</v>
      </c>
      <c r="U61" s="2">
        <v>315355.79853058996</v>
      </c>
      <c r="V61" s="2">
        <v>332417.56934414996</v>
      </c>
      <c r="W61" s="29">
        <f t="shared" si="5"/>
        <v>1.2799208621682765</v>
      </c>
      <c r="X61" s="29">
        <f t="shared" si="50"/>
        <v>0.60912201498275431</v>
      </c>
      <c r="Y61" s="29">
        <f t="shared" si="50"/>
        <v>-0.10252034393408027</v>
      </c>
      <c r="Z61" s="29">
        <f t="shared" si="50"/>
        <v>0.35431380047329131</v>
      </c>
      <c r="AA61" s="29">
        <f t="shared" si="50"/>
        <v>-0.22740790318015414</v>
      </c>
      <c r="AB61" s="29">
        <f t="shared" si="50"/>
        <v>0.39890585104306253</v>
      </c>
      <c r="AC61" s="29">
        <f t="shared" si="50"/>
        <v>-0.20259730000106824</v>
      </c>
      <c r="AD61" s="29">
        <f t="shared" si="50"/>
        <v>0.30132696408548232</v>
      </c>
      <c r="AE61" s="29">
        <f t="shared" si="50"/>
        <v>-2.1375547659045369E-2</v>
      </c>
      <c r="AF61" s="29">
        <f t="shared" si="50"/>
        <v>-0.11740268944012466</v>
      </c>
      <c r="AG61" s="29">
        <f t="shared" si="50"/>
        <v>0.59414446969474843</v>
      </c>
      <c r="AH61" s="29">
        <f t="shared" si="50"/>
        <v>-0.12170155511831593</v>
      </c>
      <c r="AI61" s="29">
        <f t="shared" si="50"/>
        <v>0.28634662748702722</v>
      </c>
      <c r="AJ61" s="29">
        <f t="shared" si="50"/>
        <v>-0.23212265293173606</v>
      </c>
      <c r="AK61" s="29">
        <f t="shared" si="50"/>
        <v>-0.22966299848183824</v>
      </c>
      <c r="AL61" s="29">
        <f t="shared" si="50"/>
        <v>3.711898852790485E-2</v>
      </c>
      <c r="AM61" s="29">
        <f t="shared" si="50"/>
        <v>9.8715740818994924E-2</v>
      </c>
      <c r="AN61" s="29">
        <f t="shared" si="50"/>
        <v>0.2550703859575556</v>
      </c>
      <c r="AO61" s="29">
        <f t="shared" si="50"/>
        <v>5.4103241142417158E-2</v>
      </c>
    </row>
    <row r="62" spans="1:41" x14ac:dyDescent="0.2">
      <c r="B62" s="1" t="s">
        <v>8</v>
      </c>
      <c r="C62" s="2">
        <v>27.5</v>
      </c>
      <c r="D62" s="2">
        <v>84.5</v>
      </c>
      <c r="E62" s="36">
        <v>77.900000000000006</v>
      </c>
      <c r="F62" s="2">
        <v>91.7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949.14883196000005</v>
      </c>
      <c r="O62" s="2">
        <v>413.02341775999997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44">
        <f t="shared" si="5"/>
        <v>2.0727272727272728</v>
      </c>
      <c r="X62" s="44">
        <f t="shared" si="50"/>
        <v>-7.8106508875739555E-2</v>
      </c>
      <c r="Y62" s="44">
        <f t="shared" si="50"/>
        <v>0.17715019255455711</v>
      </c>
      <c r="Z62" s="44">
        <f t="shared" si="50"/>
        <v>-1</v>
      </c>
      <c r="AA62" s="44" t="e">
        <f t="shared" si="50"/>
        <v>#DIV/0!</v>
      </c>
      <c r="AB62" s="44" t="e">
        <f t="shared" si="50"/>
        <v>#DIV/0!</v>
      </c>
      <c r="AC62" s="44" t="e">
        <f t="shared" si="50"/>
        <v>#DIV/0!</v>
      </c>
      <c r="AD62" s="44" t="e">
        <f t="shared" si="50"/>
        <v>#DIV/0!</v>
      </c>
      <c r="AE62" s="44" t="e">
        <f t="shared" si="50"/>
        <v>#DIV/0!</v>
      </c>
      <c r="AF62" s="44" t="e">
        <f t="shared" si="50"/>
        <v>#DIV/0!</v>
      </c>
      <c r="AG62" s="44" t="e">
        <f t="shared" si="50"/>
        <v>#DIV/0!</v>
      </c>
      <c r="AH62" s="44">
        <f t="shared" si="50"/>
        <v>-0.56484862662992141</v>
      </c>
      <c r="AI62" s="44">
        <f t="shared" si="50"/>
        <v>-1</v>
      </c>
      <c r="AJ62" s="44" t="e">
        <f t="shared" si="50"/>
        <v>#DIV/0!</v>
      </c>
      <c r="AK62" s="44" t="e">
        <f t="shared" si="50"/>
        <v>#DIV/0!</v>
      </c>
      <c r="AL62" s="44" t="e">
        <f t="shared" si="50"/>
        <v>#DIV/0!</v>
      </c>
      <c r="AM62" s="44" t="e">
        <f t="shared" si="50"/>
        <v>#DIV/0!</v>
      </c>
      <c r="AN62" s="44" t="e">
        <f t="shared" si="50"/>
        <v>#DIV/0!</v>
      </c>
      <c r="AO62" s="44" t="e">
        <f t="shared" si="50"/>
        <v>#DIV/0!</v>
      </c>
    </row>
    <row r="63" spans="1:41" x14ac:dyDescent="0.2">
      <c r="B63" s="18" t="s">
        <v>39</v>
      </c>
      <c r="C63" s="2">
        <v>12833.4</v>
      </c>
      <c r="D63" s="2">
        <v>887.5</v>
      </c>
      <c r="E63" s="36">
        <v>3925.9999999999995</v>
      </c>
      <c r="F63" s="2">
        <v>15726.500000000002</v>
      </c>
      <c r="G63" s="2">
        <v>14279.980219139999</v>
      </c>
      <c r="H63" s="2">
        <v>22905.481552939997</v>
      </c>
      <c r="I63" s="2">
        <v>4106.4867114399995</v>
      </c>
      <c r="J63" s="2">
        <v>40578.1287046</v>
      </c>
      <c r="K63" s="2">
        <v>61964.447155139998</v>
      </c>
      <c r="L63" s="2">
        <v>88815.857398860011</v>
      </c>
      <c r="M63" s="2">
        <v>80678.620605689997</v>
      </c>
      <c r="N63" s="2">
        <v>29999.32998165</v>
      </c>
      <c r="O63" s="2">
        <v>28167.199709439999</v>
      </c>
      <c r="P63" s="2">
        <v>128384.30365836999</v>
      </c>
      <c r="Q63" s="2">
        <v>19885.254322170003</v>
      </c>
      <c r="R63" s="2">
        <v>35434.248390170003</v>
      </c>
      <c r="S63" s="2">
        <v>60010.179121959998</v>
      </c>
      <c r="T63" s="2">
        <v>16180.865668229999</v>
      </c>
      <c r="U63" s="2">
        <v>59291.294370929994</v>
      </c>
      <c r="V63" s="2">
        <v>107672.95486021</v>
      </c>
      <c r="W63" s="29">
        <f t="shared" si="5"/>
        <v>-0.93084451509342814</v>
      </c>
      <c r="X63" s="29">
        <f t="shared" si="50"/>
        <v>3.4236619718309855</v>
      </c>
      <c r="Y63" s="29">
        <f t="shared" si="50"/>
        <v>3.0057310239429453</v>
      </c>
      <c r="Z63" s="29">
        <f t="shared" si="50"/>
        <v>-9.1979765418879089E-2</v>
      </c>
      <c r="AA63" s="29">
        <f t="shared" si="50"/>
        <v>0.60402754075519738</v>
      </c>
      <c r="AB63" s="29">
        <f t="shared" si="50"/>
        <v>-0.82072035019438749</v>
      </c>
      <c r="AC63" s="29">
        <f t="shared" si="50"/>
        <v>8.8814708425954425</v>
      </c>
      <c r="AD63" s="29">
        <f t="shared" si="50"/>
        <v>0.52704052979445581</v>
      </c>
      <c r="AE63" s="29">
        <f t="shared" si="50"/>
        <v>0.43333575100722355</v>
      </c>
      <c r="AF63" s="29">
        <f t="shared" si="50"/>
        <v>-9.161918863910512E-2</v>
      </c>
      <c r="AG63" s="29">
        <f t="shared" si="50"/>
        <v>-0.62816258190296526</v>
      </c>
      <c r="AH63" s="29">
        <f t="shared" si="50"/>
        <v>-6.107237306068769E-2</v>
      </c>
      <c r="AI63" s="29">
        <f t="shared" si="50"/>
        <v>3.5579363579881553</v>
      </c>
      <c r="AJ63" s="29">
        <f t="shared" si="50"/>
        <v>-0.84511148360406607</v>
      </c>
      <c r="AK63" s="29">
        <f t="shared" si="50"/>
        <v>0.78193589159503385</v>
      </c>
      <c r="AL63" s="29">
        <f t="shared" si="50"/>
        <v>0.69356432966157477</v>
      </c>
      <c r="AM63" s="29">
        <f t="shared" si="50"/>
        <v>-0.73036464971475468</v>
      </c>
      <c r="AN63" s="29">
        <f t="shared" si="50"/>
        <v>2.6642844447651721</v>
      </c>
      <c r="AO63" s="29">
        <f t="shared" si="50"/>
        <v>0.81599939759454987</v>
      </c>
    </row>
    <row r="64" spans="1:41" x14ac:dyDescent="0.2">
      <c r="C64" s="6"/>
      <c r="D64" s="6"/>
      <c r="AH64" s="6"/>
      <c r="AI64" s="6"/>
      <c r="AJ64" s="6"/>
      <c r="AK64" s="6"/>
      <c r="AL64" s="6"/>
      <c r="AM64" s="6"/>
      <c r="AN64" s="6"/>
      <c r="AO64" s="6"/>
    </row>
    <row r="65" spans="1:41" x14ac:dyDescent="0.2">
      <c r="B65" s="15" t="s">
        <v>51</v>
      </c>
      <c r="C65" s="6"/>
      <c r="D65" s="6"/>
      <c r="G65" s="5">
        <f t="shared" ref="G65:L65" si="53">+G66-G67</f>
        <v>0</v>
      </c>
      <c r="H65" s="5">
        <f t="shared" si="53"/>
        <v>0</v>
      </c>
      <c r="I65" s="5">
        <f t="shared" si="53"/>
        <v>0</v>
      </c>
      <c r="J65" s="5">
        <f t="shared" si="53"/>
        <v>0</v>
      </c>
      <c r="K65" s="5">
        <f t="shared" si="53"/>
        <v>1199.4947059799999</v>
      </c>
      <c r="L65" s="5">
        <f t="shared" si="53"/>
        <v>3877.1171084099997</v>
      </c>
      <c r="M65" s="5">
        <f t="shared" ref="M65:V65" si="54">+M66-M67</f>
        <v>3962.2340229899996</v>
      </c>
      <c r="N65" s="5">
        <f t="shared" si="54"/>
        <v>660.15740000000005</v>
      </c>
      <c r="O65" s="5">
        <f t="shared" si="54"/>
        <v>673.14005049000002</v>
      </c>
      <c r="P65" s="5">
        <f t="shared" si="54"/>
        <v>31906.560712530001</v>
      </c>
      <c r="Q65" s="5">
        <f t="shared" si="54"/>
        <v>862.17125576000001</v>
      </c>
      <c r="R65" s="5">
        <f t="shared" si="54"/>
        <v>4505.1821919700005</v>
      </c>
      <c r="S65" s="5">
        <f t="shared" si="54"/>
        <v>4279.6230017099997</v>
      </c>
      <c r="T65" s="5">
        <f t="shared" si="54"/>
        <v>4649.5974864199998</v>
      </c>
      <c r="U65" s="5">
        <f t="shared" si="54"/>
        <v>36938.777300000002</v>
      </c>
      <c r="V65" s="5">
        <f t="shared" si="54"/>
        <v>37238.303119999997</v>
      </c>
      <c r="W65" s="44" t="e">
        <f t="shared" si="5"/>
        <v>#DIV/0!</v>
      </c>
      <c r="X65" s="44" t="e">
        <f t="shared" ref="X65:AO69" si="55">+E65/D65-1</f>
        <v>#DIV/0!</v>
      </c>
      <c r="Y65" s="44" t="e">
        <f t="shared" si="55"/>
        <v>#DIV/0!</v>
      </c>
      <c r="Z65" s="44" t="e">
        <f t="shared" si="55"/>
        <v>#DIV/0!</v>
      </c>
      <c r="AA65" s="44" t="e">
        <f t="shared" si="55"/>
        <v>#DIV/0!</v>
      </c>
      <c r="AB65" s="44" t="e">
        <f t="shared" si="55"/>
        <v>#DIV/0!</v>
      </c>
      <c r="AC65" s="44" t="e">
        <f t="shared" si="55"/>
        <v>#DIV/0!</v>
      </c>
      <c r="AD65" s="44" t="e">
        <f t="shared" si="55"/>
        <v>#DIV/0!</v>
      </c>
      <c r="AE65" s="29">
        <f t="shared" si="55"/>
        <v>2.2322919718452225</v>
      </c>
      <c r="AF65" s="29">
        <f t="shared" si="55"/>
        <v>2.1953660980569722E-2</v>
      </c>
      <c r="AG65" s="29">
        <f t="shared" si="55"/>
        <v>-0.83338757979221301</v>
      </c>
      <c r="AH65" s="29">
        <f t="shared" si="55"/>
        <v>1.9665992519359632E-2</v>
      </c>
      <c r="AI65" s="29">
        <f t="shared" si="55"/>
        <v>46.399587484512622</v>
      </c>
      <c r="AJ65" s="29">
        <f t="shared" si="55"/>
        <v>-0.97297824533556143</v>
      </c>
      <c r="AK65" s="29">
        <f t="shared" si="55"/>
        <v>4.2253913150916906</v>
      </c>
      <c r="AL65" s="29">
        <f t="shared" si="55"/>
        <v>-5.0066607885922099E-2</v>
      </c>
      <c r="AM65" s="29">
        <f t="shared" si="55"/>
        <v>8.6450251473592532E-2</v>
      </c>
      <c r="AN65" s="29">
        <f t="shared" si="55"/>
        <v>6.9445107684883389</v>
      </c>
      <c r="AO65" s="29">
        <f t="shared" si="55"/>
        <v>8.1087096513070556E-3</v>
      </c>
    </row>
    <row r="66" spans="1:41" x14ac:dyDescent="0.2">
      <c r="B66" s="51" t="s">
        <v>52</v>
      </c>
      <c r="C66" s="6"/>
      <c r="D66" s="6"/>
      <c r="G66" s="26">
        <v>0</v>
      </c>
      <c r="H66" s="26">
        <v>0</v>
      </c>
      <c r="I66" s="2">
        <v>0</v>
      </c>
      <c r="J66" s="2">
        <v>0</v>
      </c>
      <c r="K66" s="26">
        <v>1199.4947059799999</v>
      </c>
      <c r="L66" s="26">
        <v>3877.1171084099997</v>
      </c>
      <c r="M66" s="26">
        <v>3962.2340229899996</v>
      </c>
      <c r="N66" s="26">
        <v>660.15740000000005</v>
      </c>
      <c r="O66" s="26">
        <v>673.14005049000002</v>
      </c>
      <c r="P66" s="26">
        <v>31906.560712530001</v>
      </c>
      <c r="Q66" s="26">
        <v>862.17125576000001</v>
      </c>
      <c r="R66" s="26">
        <v>4505.1821919700005</v>
      </c>
      <c r="S66" s="26">
        <v>4279.6230017099997</v>
      </c>
      <c r="T66" s="26">
        <v>4649.5974864199998</v>
      </c>
      <c r="U66" s="26">
        <v>36938.777300000002</v>
      </c>
      <c r="V66" s="26">
        <v>37238.303119999997</v>
      </c>
      <c r="W66" s="44" t="e">
        <f t="shared" si="5"/>
        <v>#DIV/0!</v>
      </c>
      <c r="X66" s="44" t="e">
        <f t="shared" si="55"/>
        <v>#DIV/0!</v>
      </c>
      <c r="Y66" s="44" t="e">
        <f t="shared" si="55"/>
        <v>#DIV/0!</v>
      </c>
      <c r="Z66" s="44" t="e">
        <f t="shared" si="55"/>
        <v>#DIV/0!</v>
      </c>
      <c r="AA66" s="44" t="e">
        <f t="shared" si="55"/>
        <v>#DIV/0!</v>
      </c>
      <c r="AB66" s="44" t="e">
        <f t="shared" si="55"/>
        <v>#DIV/0!</v>
      </c>
      <c r="AC66" s="44" t="e">
        <f t="shared" si="55"/>
        <v>#DIV/0!</v>
      </c>
      <c r="AD66" s="44" t="e">
        <f t="shared" si="55"/>
        <v>#DIV/0!</v>
      </c>
      <c r="AE66" s="29">
        <f t="shared" si="55"/>
        <v>2.2322919718452225</v>
      </c>
      <c r="AF66" s="29">
        <f t="shared" si="55"/>
        <v>2.1953660980569722E-2</v>
      </c>
      <c r="AG66" s="29">
        <f t="shared" si="55"/>
        <v>-0.83338757979221301</v>
      </c>
      <c r="AH66" s="29">
        <f t="shared" si="55"/>
        <v>1.9665992519359632E-2</v>
      </c>
      <c r="AI66" s="29">
        <f t="shared" si="55"/>
        <v>46.399587484512622</v>
      </c>
      <c r="AJ66" s="29">
        <f t="shared" si="55"/>
        <v>-0.97297824533556143</v>
      </c>
      <c r="AK66" s="29">
        <f t="shared" si="55"/>
        <v>4.2253913150916906</v>
      </c>
      <c r="AL66" s="29">
        <f t="shared" si="55"/>
        <v>-5.0066607885922099E-2</v>
      </c>
      <c r="AM66" s="29">
        <f t="shared" si="55"/>
        <v>8.6450251473592532E-2</v>
      </c>
      <c r="AN66" s="29">
        <f t="shared" si="55"/>
        <v>6.9445107684883389</v>
      </c>
      <c r="AO66" s="29">
        <f t="shared" si="55"/>
        <v>8.1087096513070556E-3</v>
      </c>
    </row>
    <row r="67" spans="1:41" x14ac:dyDescent="0.2">
      <c r="B67" s="1" t="s">
        <v>53</v>
      </c>
      <c r="C67" s="6"/>
      <c r="D67" s="6"/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105" t="e">
        <f t="shared" si="5"/>
        <v>#DIV/0!</v>
      </c>
      <c r="X67" s="105" t="e">
        <f t="shared" si="55"/>
        <v>#DIV/0!</v>
      </c>
      <c r="Y67" s="105" t="e">
        <f t="shared" si="55"/>
        <v>#DIV/0!</v>
      </c>
      <c r="Z67" s="105" t="e">
        <f t="shared" si="55"/>
        <v>#DIV/0!</v>
      </c>
      <c r="AA67" s="105" t="e">
        <f t="shared" si="55"/>
        <v>#DIV/0!</v>
      </c>
      <c r="AB67" s="105" t="e">
        <f t="shared" si="55"/>
        <v>#DIV/0!</v>
      </c>
      <c r="AC67" s="105" t="e">
        <f t="shared" si="55"/>
        <v>#DIV/0!</v>
      </c>
      <c r="AD67" s="105" t="e">
        <f t="shared" si="55"/>
        <v>#DIV/0!</v>
      </c>
      <c r="AE67" s="105" t="e">
        <f t="shared" si="55"/>
        <v>#DIV/0!</v>
      </c>
      <c r="AF67" s="105" t="e">
        <f t="shared" si="55"/>
        <v>#DIV/0!</v>
      </c>
      <c r="AG67" s="105" t="e">
        <f t="shared" si="55"/>
        <v>#DIV/0!</v>
      </c>
      <c r="AH67" s="105" t="e">
        <f t="shared" si="55"/>
        <v>#DIV/0!</v>
      </c>
      <c r="AI67" s="105" t="e">
        <f t="shared" si="55"/>
        <v>#DIV/0!</v>
      </c>
      <c r="AJ67" s="105" t="e">
        <f t="shared" si="55"/>
        <v>#DIV/0!</v>
      </c>
      <c r="AK67" s="105" t="e">
        <f t="shared" si="55"/>
        <v>#DIV/0!</v>
      </c>
      <c r="AL67" s="105" t="e">
        <f t="shared" si="55"/>
        <v>#DIV/0!</v>
      </c>
      <c r="AM67" s="105" t="e">
        <f t="shared" si="55"/>
        <v>#DIV/0!</v>
      </c>
      <c r="AN67" s="105" t="e">
        <f t="shared" si="55"/>
        <v>#DIV/0!</v>
      </c>
      <c r="AO67" s="105" t="e">
        <f t="shared" si="55"/>
        <v>#DIV/0!</v>
      </c>
    </row>
    <row r="68" spans="1:41" x14ac:dyDescent="0.2">
      <c r="C68" s="6"/>
      <c r="D68" s="6"/>
      <c r="W68" s="105" t="e">
        <f t="shared" si="5"/>
        <v>#DIV/0!</v>
      </c>
      <c r="X68" s="105" t="e">
        <f t="shared" si="55"/>
        <v>#DIV/0!</v>
      </c>
      <c r="Y68" s="105" t="e">
        <f t="shared" si="55"/>
        <v>#DIV/0!</v>
      </c>
      <c r="Z68" s="105" t="e">
        <f t="shared" si="55"/>
        <v>#DIV/0!</v>
      </c>
      <c r="AA68" s="105" t="e">
        <f t="shared" si="55"/>
        <v>#DIV/0!</v>
      </c>
      <c r="AB68" s="105" t="e">
        <f t="shared" si="55"/>
        <v>#DIV/0!</v>
      </c>
      <c r="AC68" s="105" t="e">
        <f t="shared" si="55"/>
        <v>#DIV/0!</v>
      </c>
      <c r="AD68" s="105" t="e">
        <f t="shared" si="55"/>
        <v>#DIV/0!</v>
      </c>
      <c r="AE68" s="105" t="e">
        <f t="shared" si="55"/>
        <v>#DIV/0!</v>
      </c>
      <c r="AF68" s="105" t="e">
        <f t="shared" si="55"/>
        <v>#DIV/0!</v>
      </c>
      <c r="AG68" s="105" t="e">
        <f t="shared" si="55"/>
        <v>#DIV/0!</v>
      </c>
      <c r="AH68" s="105" t="e">
        <f t="shared" si="55"/>
        <v>#DIV/0!</v>
      </c>
      <c r="AI68" s="105" t="e">
        <f t="shared" si="55"/>
        <v>#DIV/0!</v>
      </c>
      <c r="AJ68" s="105" t="e">
        <f t="shared" si="55"/>
        <v>#DIV/0!</v>
      </c>
      <c r="AK68" s="105" t="e">
        <f t="shared" si="55"/>
        <v>#DIV/0!</v>
      </c>
      <c r="AL68" s="105" t="e">
        <f t="shared" si="55"/>
        <v>#DIV/0!</v>
      </c>
      <c r="AM68" s="105" t="e">
        <f t="shared" si="55"/>
        <v>#DIV/0!</v>
      </c>
      <c r="AN68" s="105" t="e">
        <f t="shared" si="55"/>
        <v>#DIV/0!</v>
      </c>
      <c r="AO68" s="105" t="e">
        <f t="shared" si="55"/>
        <v>#DIV/0!</v>
      </c>
    </row>
    <row r="69" spans="1:41" x14ac:dyDescent="0.2">
      <c r="A69" s="4" t="s">
        <v>18</v>
      </c>
      <c r="B69" s="3" t="s">
        <v>22</v>
      </c>
      <c r="C69" s="21">
        <f t="shared" ref="C69:O69" si="56">+C9-C38</f>
        <v>335367.85118699935</v>
      </c>
      <c r="D69" s="21">
        <f t="shared" si="56"/>
        <v>436432.7152103493</v>
      </c>
      <c r="E69" s="21">
        <f t="shared" si="56"/>
        <v>449268.22904213984</v>
      </c>
      <c r="F69" s="21">
        <f t="shared" si="56"/>
        <v>-134814.96686908021</v>
      </c>
      <c r="G69" s="21">
        <f t="shared" si="56"/>
        <v>-384021.46670401981</v>
      </c>
      <c r="H69" s="21">
        <f t="shared" si="56"/>
        <v>-385905.35437111929</v>
      </c>
      <c r="I69" s="21">
        <f t="shared" si="56"/>
        <v>-484229.64058861975</v>
      </c>
      <c r="J69" s="21">
        <f t="shared" si="56"/>
        <v>-600067.14800464921</v>
      </c>
      <c r="K69" s="21">
        <f t="shared" si="56"/>
        <v>-762291.76344384393</v>
      </c>
      <c r="L69" s="21">
        <f t="shared" si="56"/>
        <v>-760605.20301397005</v>
      </c>
      <c r="M69" s="21">
        <f t="shared" si="56"/>
        <v>-608221.95329909958</v>
      </c>
      <c r="N69" s="21">
        <f t="shared" si="56"/>
        <v>-733716.67532282975</v>
      </c>
      <c r="O69" s="21">
        <f t="shared" si="56"/>
        <v>-804630.26199273113</v>
      </c>
      <c r="P69" s="21">
        <f t="shared" ref="P69:U69" si="57">+P9-P38</f>
        <v>-787649.52732360922</v>
      </c>
      <c r="Q69" s="21">
        <f t="shared" si="57"/>
        <v>-1148690.6175460299</v>
      </c>
      <c r="R69" s="21">
        <f t="shared" si="57"/>
        <v>61341.774839528836</v>
      </c>
      <c r="S69" s="21">
        <f t="shared" si="57"/>
        <v>1007833.1324115898</v>
      </c>
      <c r="T69" s="21">
        <f t="shared" si="57"/>
        <v>869698.70327611174</v>
      </c>
      <c r="U69" s="21">
        <f t="shared" si="57"/>
        <v>606492.03232306056</v>
      </c>
      <c r="V69" s="21">
        <f t="shared" ref="V69" si="58">+V9-V38</f>
        <v>502565.76595671102</v>
      </c>
      <c r="W69" s="40">
        <f t="shared" si="5"/>
        <v>0.30135525413554531</v>
      </c>
      <c r="X69" s="40">
        <f t="shared" si="55"/>
        <v>2.9410063417459886E-2</v>
      </c>
      <c r="Y69" s="40">
        <f t="shared" si="55"/>
        <v>-1.3000767874383456</v>
      </c>
      <c r="Z69" s="40">
        <f t="shared" si="55"/>
        <v>1.8485076666372349</v>
      </c>
      <c r="AA69" s="40">
        <f t="shared" si="55"/>
        <v>4.9056832246086035E-3</v>
      </c>
      <c r="AB69" s="40">
        <f t="shared" si="55"/>
        <v>0.25478860322560726</v>
      </c>
      <c r="AC69" s="40">
        <f t="shared" si="55"/>
        <v>0.23922019163308494</v>
      </c>
      <c r="AD69" s="40">
        <f t="shared" si="55"/>
        <v>0.27034410395340935</v>
      </c>
      <c r="AE69" s="40">
        <f t="shared" si="55"/>
        <v>-2.2124867547491656E-3</v>
      </c>
      <c r="AF69" s="40">
        <f t="shared" si="55"/>
        <v>-0.20034473746831793</v>
      </c>
      <c r="AG69" s="40">
        <f t="shared" si="55"/>
        <v>0.20633047087995648</v>
      </c>
      <c r="AH69" s="40">
        <f t="shared" si="55"/>
        <v>9.6649822819823372E-2</v>
      </c>
      <c r="AI69" s="40">
        <f t="shared" si="55"/>
        <v>-2.1103773336920928E-2</v>
      </c>
      <c r="AJ69" s="40">
        <f t="shared" si="55"/>
        <v>0.4583778415372366</v>
      </c>
      <c r="AK69" s="40">
        <f t="shared" si="55"/>
        <v>-1.0534014763440607</v>
      </c>
      <c r="AL69" s="40">
        <f t="shared" si="55"/>
        <v>15.429800654579999</v>
      </c>
      <c r="AM69" s="40">
        <f t="shared" si="55"/>
        <v>-0.13706081363384393</v>
      </c>
      <c r="AN69" s="40">
        <f t="shared" si="55"/>
        <v>-0.30264121351631867</v>
      </c>
      <c r="AO69" s="40">
        <f t="shared" si="55"/>
        <v>-0.17135635890924783</v>
      </c>
    </row>
    <row r="70" spans="1:41" ht="18" x14ac:dyDescent="0.2">
      <c r="A70" s="4"/>
      <c r="B70" s="46" t="s">
        <v>50</v>
      </c>
      <c r="C70" s="47">
        <f t="shared" ref="C70:O70" si="59">+C69/C76</f>
        <v>2.8877861902281119E-2</v>
      </c>
      <c r="D70" s="47">
        <f t="shared" si="59"/>
        <v>3.1422784429768376E-2</v>
      </c>
      <c r="E70" s="47">
        <f t="shared" si="59"/>
        <v>2.7717251544734648E-2</v>
      </c>
      <c r="F70" s="47">
        <f t="shared" si="59"/>
        <v>-7.6485780763700401E-3</v>
      </c>
      <c r="G70" s="47">
        <f t="shared" si="59"/>
        <v>-1.9393054294396739E-2</v>
      </c>
      <c r="H70" s="47">
        <f t="shared" si="59"/>
        <v>-1.7846551915552161E-2</v>
      </c>
      <c r="I70" s="47">
        <f t="shared" si="59"/>
        <v>-2.038615414176205E-2</v>
      </c>
      <c r="J70" s="47">
        <f t="shared" si="59"/>
        <v>-2.3566281188933558E-2</v>
      </c>
      <c r="K70" s="47">
        <f t="shared" si="59"/>
        <v>-2.7223415058500438E-2</v>
      </c>
      <c r="L70" s="47">
        <f t="shared" si="59"/>
        <v>-2.5018341714013813E-2</v>
      </c>
      <c r="M70" s="47">
        <f t="shared" si="59"/>
        <v>-1.8973561427461198E-2</v>
      </c>
      <c r="N70" s="47">
        <f t="shared" si="59"/>
        <v>-2.1363970595226666E-2</v>
      </c>
      <c r="O70" s="47">
        <f t="shared" si="59"/>
        <v>-2.2341706142292625E-2</v>
      </c>
      <c r="P70" s="47">
        <f t="shared" ref="P70:U70" si="60">+P69/P76</f>
        <v>-2.0819581532837167E-2</v>
      </c>
      <c r="Q70" s="47">
        <f t="shared" si="60"/>
        <v>-3.1475075257706778E-2</v>
      </c>
      <c r="R70" s="47">
        <f t="shared" si="60"/>
        <v>1.5211234133904775E-3</v>
      </c>
      <c r="S70" s="47">
        <f t="shared" si="60"/>
        <v>2.2491239548753841E-2</v>
      </c>
      <c r="T70" s="47">
        <f t="shared" si="60"/>
        <v>1.8480921242894015E-2</v>
      </c>
      <c r="U70" s="47">
        <f t="shared" si="60"/>
        <v>1.2348172462308052E-2</v>
      </c>
      <c r="V70" s="47">
        <f t="shared" ref="V70" si="61">+V69/V76</f>
        <v>9.8395127618443826E-3</v>
      </c>
      <c r="W70" s="40"/>
      <c r="X70" s="40"/>
      <c r="Y70" s="40"/>
      <c r="Z70" s="40"/>
      <c r="AA70" s="40"/>
      <c r="AB70" s="40"/>
      <c r="AC70" s="40"/>
      <c r="AD70" s="40"/>
      <c r="AE70" s="40"/>
      <c r="AF70" s="40"/>
      <c r="AG70" s="40"/>
      <c r="AH70" s="40"/>
      <c r="AI70" s="40"/>
      <c r="AJ70" s="40"/>
      <c r="AK70" s="40"/>
      <c r="AL70" s="40"/>
      <c r="AM70" s="40"/>
      <c r="AN70" s="40"/>
      <c r="AO70" s="40"/>
    </row>
    <row r="71" spans="1:41" x14ac:dyDescent="0.2">
      <c r="A71" s="4" t="s">
        <v>19</v>
      </c>
      <c r="B71" s="3" t="s">
        <v>21</v>
      </c>
      <c r="C71" s="21">
        <f t="shared" ref="C71:O71" si="62">+C9-C36</f>
        <v>-87593.348813000601</v>
      </c>
      <c r="D71" s="21">
        <f t="shared" si="62"/>
        <v>27795.015210349346</v>
      </c>
      <c r="E71" s="21">
        <f t="shared" si="62"/>
        <v>120708.22904213984</v>
      </c>
      <c r="F71" s="21">
        <f t="shared" si="62"/>
        <v>-471484.86686908011</v>
      </c>
      <c r="G71" s="21">
        <f t="shared" si="62"/>
        <v>-761075.88852938963</v>
      </c>
      <c r="H71" s="21">
        <f t="shared" si="62"/>
        <v>-789721.00371163944</v>
      </c>
      <c r="I71" s="21">
        <f t="shared" si="62"/>
        <v>-907718.70029933983</v>
      </c>
      <c r="J71" s="21">
        <f t="shared" si="62"/>
        <v>-1137370.7827243092</v>
      </c>
      <c r="K71" s="21">
        <f t="shared" si="62"/>
        <v>-1352924.492328844</v>
      </c>
      <c r="L71" s="21">
        <f t="shared" si="62"/>
        <v>-1446355.34260969</v>
      </c>
      <c r="M71" s="21">
        <f t="shared" si="62"/>
        <v>-1352269.7776331399</v>
      </c>
      <c r="N71" s="21">
        <f t="shared" si="62"/>
        <v>-1652880.7437248398</v>
      </c>
      <c r="O71" s="21">
        <f t="shared" si="62"/>
        <v>-1925041.3088635113</v>
      </c>
      <c r="P71" s="21">
        <f t="shared" ref="P71:U71" si="63">+P9-P36</f>
        <v>-2160532.2800549399</v>
      </c>
      <c r="Q71" s="21">
        <f t="shared" si="63"/>
        <v>-2687450.2785789301</v>
      </c>
      <c r="R71" s="21">
        <f t="shared" si="63"/>
        <v>-1664007.657514981</v>
      </c>
      <c r="S71" s="21">
        <f t="shared" si="63"/>
        <v>-879135.02285031043</v>
      </c>
      <c r="T71" s="21">
        <f t="shared" si="63"/>
        <v>-1197560.1778632579</v>
      </c>
      <c r="U71" s="21">
        <f t="shared" si="63"/>
        <v>-1579762.7021917589</v>
      </c>
      <c r="V71" s="21">
        <f t="shared" ref="V71" si="64">+V9-V36</f>
        <v>-1572533.0529346094</v>
      </c>
      <c r="W71" s="40">
        <f t="shared" si="5"/>
        <v>-1.3173187871796952</v>
      </c>
      <c r="X71" s="40">
        <f t="shared" ref="X71:AO71" si="65">+E71/D71-1</f>
        <v>3.3428013306930904</v>
      </c>
      <c r="Y71" s="40">
        <f t="shared" si="65"/>
        <v>-4.905987774076964</v>
      </c>
      <c r="Z71" s="40">
        <f t="shared" si="65"/>
        <v>0.61421063964015188</v>
      </c>
      <c r="AA71" s="40">
        <f t="shared" si="65"/>
        <v>3.7637659547460123E-2</v>
      </c>
      <c r="AB71" s="40">
        <f t="shared" si="65"/>
        <v>0.1494169409615782</v>
      </c>
      <c r="AC71" s="40">
        <f t="shared" si="65"/>
        <v>0.25299917512907544</v>
      </c>
      <c r="AD71" s="40">
        <f t="shared" si="65"/>
        <v>0.18951929562338998</v>
      </c>
      <c r="AE71" s="40">
        <f t="shared" si="65"/>
        <v>6.905843660204547E-2</v>
      </c>
      <c r="AF71" s="40">
        <f t="shared" si="65"/>
        <v>-6.5050103667325332E-2</v>
      </c>
      <c r="AG71" s="40">
        <f t="shared" si="65"/>
        <v>0.22230103124677925</v>
      </c>
      <c r="AH71" s="40">
        <f t="shared" si="65"/>
        <v>0.16465831922353069</v>
      </c>
      <c r="AI71" s="40">
        <f t="shared" si="65"/>
        <v>0.12233034694224587</v>
      </c>
      <c r="AJ71" s="40">
        <f t="shared" si="65"/>
        <v>0.24388341863172314</v>
      </c>
      <c r="AK71" s="40">
        <f t="shared" si="65"/>
        <v>-0.38082290460276913</v>
      </c>
      <c r="AL71" s="40">
        <f t="shared" si="65"/>
        <v>-0.47167609543143252</v>
      </c>
      <c r="AM71" s="40">
        <f t="shared" si="65"/>
        <v>0.36220278653051174</v>
      </c>
      <c r="AN71" s="40">
        <f t="shared" si="65"/>
        <v>0.31915099666260138</v>
      </c>
      <c r="AO71" s="40">
        <f t="shared" si="65"/>
        <v>-4.5764147027392843E-3</v>
      </c>
    </row>
    <row r="72" spans="1:41" ht="18" x14ac:dyDescent="0.2">
      <c r="A72" s="4"/>
      <c r="B72" s="46" t="s">
        <v>50</v>
      </c>
      <c r="C72" s="47">
        <f t="shared" ref="C72:O72" si="66">+C71/C76</f>
        <v>-7.5424899006486176E-3</v>
      </c>
      <c r="D72" s="47">
        <f t="shared" si="66"/>
        <v>2.0012174631683739E-3</v>
      </c>
      <c r="E72" s="47">
        <f t="shared" si="66"/>
        <v>7.4469996576735876E-3</v>
      </c>
      <c r="F72" s="47">
        <f t="shared" si="66"/>
        <v>-2.6749172586876719E-2</v>
      </c>
      <c r="G72" s="47">
        <f t="shared" si="66"/>
        <v>-3.8434273362594279E-2</v>
      </c>
      <c r="H72" s="47">
        <f t="shared" si="66"/>
        <v>-3.6521382074393156E-2</v>
      </c>
      <c r="I72" s="47">
        <f t="shared" si="66"/>
        <v>-3.8215119006692937E-2</v>
      </c>
      <c r="J72" s="47">
        <f t="shared" si="66"/>
        <v>-4.4667667228386339E-2</v>
      </c>
      <c r="K72" s="47">
        <f t="shared" si="66"/>
        <v>-4.8316440979349992E-2</v>
      </c>
      <c r="L72" s="47">
        <f t="shared" si="66"/>
        <v>-4.7574499961229075E-2</v>
      </c>
      <c r="M72" s="47">
        <f t="shared" si="66"/>
        <v>-4.2184228229927755E-2</v>
      </c>
      <c r="N72" s="47">
        <f t="shared" si="66"/>
        <v>-4.812769941587712E-2</v>
      </c>
      <c r="O72" s="47">
        <f t="shared" si="66"/>
        <v>-5.3451515889905064E-2</v>
      </c>
      <c r="P72" s="47">
        <f t="shared" ref="P72:U72" si="67">+P71/P76</f>
        <v>-5.7108366600275517E-2</v>
      </c>
      <c r="Q72" s="47">
        <f t="shared" si="67"/>
        <v>-7.3638365698784264E-2</v>
      </c>
      <c r="R72" s="47">
        <f t="shared" si="67"/>
        <v>-4.1263250281372565E-2</v>
      </c>
      <c r="S72" s="47">
        <f t="shared" si="67"/>
        <v>-1.9619156940506761E-2</v>
      </c>
      <c r="T72" s="47">
        <f t="shared" si="67"/>
        <v>-2.5447911152847322E-2</v>
      </c>
      <c r="U72" s="47">
        <f t="shared" si="67"/>
        <v>-3.2163954770298993E-2</v>
      </c>
      <c r="V72" s="47">
        <f t="shared" ref="V72" si="68">+V71/V76</f>
        <v>-3.0787928846122352E-2</v>
      </c>
      <c r="W72" s="21"/>
      <c r="X72" s="21"/>
      <c r="Y72" s="21"/>
      <c r="Z72" s="21"/>
      <c r="AA72" s="21"/>
      <c r="AB72" s="21"/>
      <c r="AC72" s="40"/>
      <c r="AD72" s="40"/>
      <c r="AE72" s="40"/>
      <c r="AF72" s="40"/>
      <c r="AG72" s="40"/>
      <c r="AH72" s="40"/>
      <c r="AI72" s="40"/>
    </row>
    <row r="73" spans="1:41" x14ac:dyDescent="0.2">
      <c r="B73" s="33" t="s">
        <v>40</v>
      </c>
      <c r="C73" s="2"/>
      <c r="D73" s="2"/>
      <c r="F73" s="41">
        <f t="shared" ref="F73:V73" si="69">F74+F75</f>
        <v>466945.6950925141</v>
      </c>
      <c r="G73" s="41">
        <f t="shared" si="69"/>
        <v>720325.28364133253</v>
      </c>
      <c r="H73" s="48">
        <f t="shared" si="69"/>
        <v>726858.40976703295</v>
      </c>
      <c r="I73" s="48">
        <f t="shared" si="69"/>
        <v>907718.69044391741</v>
      </c>
      <c r="J73" s="106">
        <f t="shared" si="69"/>
        <v>1137370.7574837641</v>
      </c>
      <c r="K73" s="48">
        <f t="shared" si="69"/>
        <v>1352924.5393074274</v>
      </c>
      <c r="L73" s="48">
        <f t="shared" si="69"/>
        <v>1446355.2984677111</v>
      </c>
      <c r="M73" s="48">
        <f t="shared" si="69"/>
        <v>1352269.8353221873</v>
      </c>
      <c r="N73" s="48">
        <f t="shared" si="69"/>
        <v>1652880.6726785316</v>
      </c>
      <c r="O73" s="48">
        <f t="shared" si="69"/>
        <v>1925041.2957278122</v>
      </c>
      <c r="P73" s="48">
        <f t="shared" si="69"/>
        <v>2160532.2909437614</v>
      </c>
      <c r="Q73" s="48">
        <f t="shared" si="69"/>
        <v>2687450.3259690907</v>
      </c>
      <c r="R73" s="48">
        <f t="shared" si="69"/>
        <v>1664007.7396608214</v>
      </c>
      <c r="S73" s="48">
        <f>S74+S75</f>
        <v>879134.98140093649</v>
      </c>
      <c r="T73" s="48">
        <f t="shared" si="69"/>
        <v>1197560.2288300788</v>
      </c>
      <c r="U73" s="48">
        <f t="shared" si="69"/>
        <v>1579762.702191754</v>
      </c>
      <c r="V73" s="48">
        <f t="shared" si="69"/>
        <v>1572533.0529759473</v>
      </c>
      <c r="W73" s="2"/>
      <c r="X73" s="2"/>
      <c r="Y73" s="2"/>
      <c r="Z73" s="2"/>
      <c r="AA73" s="2"/>
      <c r="AB73" s="2"/>
      <c r="AC73" s="2"/>
      <c r="AD73" s="2"/>
      <c r="AE73" s="1"/>
      <c r="AF73" s="1"/>
      <c r="AG73" s="1"/>
    </row>
    <row r="74" spans="1:41" x14ac:dyDescent="0.2">
      <c r="B74" s="34" t="s">
        <v>42</v>
      </c>
      <c r="C74" s="19"/>
      <c r="D74" s="19"/>
      <c r="F74" s="42">
        <v>655934.42345577641</v>
      </c>
      <c r="G74" s="42">
        <v>482933.77566368051</v>
      </c>
      <c r="H74" s="42">
        <v>871436.04152345948</v>
      </c>
      <c r="I74" s="42">
        <f>572489.516860768-11689+0.4</f>
        <v>560800.91686076799</v>
      </c>
      <c r="J74" s="42">
        <f>773845.309454938-10664.6</f>
        <v>763180.70945493807</v>
      </c>
      <c r="K74" s="42">
        <f>903238.710353375+1199.5</f>
        <v>904438.21035337495</v>
      </c>
      <c r="L74" s="42">
        <v>880146.52111178194</v>
      </c>
      <c r="M74" s="42">
        <v>1319626.66939404</v>
      </c>
      <c r="N74" s="42">
        <v>1613834.2592207799</v>
      </c>
      <c r="O74" s="42">
        <v>1906267.64314907</v>
      </c>
      <c r="P74" s="42">
        <v>1047517.431744396</v>
      </c>
      <c r="Q74" s="42">
        <v>1975854.5704342099</v>
      </c>
      <c r="R74" s="42">
        <v>1253025.3064780601</v>
      </c>
      <c r="S74" s="42">
        <f>-174692.224540582+892.8</f>
        <v>-173799.42454058203</v>
      </c>
      <c r="T74" s="42">
        <f>-6889.5228766222+2.3</f>
        <v>-6887.2228766221997</v>
      </c>
      <c r="U74" s="42">
        <v>1013684.9063998497</v>
      </c>
      <c r="V74" s="42">
        <v>1611755.2286215301</v>
      </c>
      <c r="W74" s="19"/>
      <c r="X74" s="19"/>
      <c r="Y74" s="19"/>
      <c r="Z74" s="19"/>
      <c r="AA74" s="19"/>
      <c r="AB74" s="19"/>
      <c r="AC74" s="19"/>
      <c r="AD74" s="19"/>
    </row>
    <row r="75" spans="1:41" ht="13.5" thickBot="1" x14ac:dyDescent="0.25">
      <c r="B75" s="56" t="s">
        <v>43</v>
      </c>
      <c r="C75" s="9"/>
      <c r="D75" s="9"/>
      <c r="E75" s="8"/>
      <c r="F75" s="57">
        <v>-188988.72836326231</v>
      </c>
      <c r="G75" s="57">
        <v>237391.50797765204</v>
      </c>
      <c r="H75" s="57">
        <v>-144577.63175642653</v>
      </c>
      <c r="I75" s="57">
        <v>346917.77358314948</v>
      </c>
      <c r="J75" s="57">
        <v>374190.0480288259</v>
      </c>
      <c r="K75" s="57">
        <v>448486.32895405241</v>
      </c>
      <c r="L75" s="57">
        <v>566208.77735592925</v>
      </c>
      <c r="M75" s="57">
        <v>32643.165928147289</v>
      </c>
      <c r="N75" s="57">
        <v>39046.413457751783</v>
      </c>
      <c r="O75" s="57">
        <v>18773.652578742316</v>
      </c>
      <c r="P75" s="57">
        <v>1113014.8591993656</v>
      </c>
      <c r="Q75" s="57">
        <v>711595.75553488056</v>
      </c>
      <c r="R75" s="57">
        <v>410982.43318276125</v>
      </c>
      <c r="S75" s="57">
        <v>1052934.4059415185</v>
      </c>
      <c r="T75" s="57">
        <v>1204447.451706701</v>
      </c>
      <c r="U75" s="57">
        <v>566077.79579190433</v>
      </c>
      <c r="V75" s="57">
        <v>-39222.175645582785</v>
      </c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112"/>
      <c r="AI75" s="112"/>
      <c r="AJ75" s="8"/>
      <c r="AK75" s="8"/>
      <c r="AL75" s="8"/>
      <c r="AM75" s="8"/>
    </row>
    <row r="76" spans="1:41" ht="15" thickTop="1" x14ac:dyDescent="0.2">
      <c r="B76" s="191" t="s">
        <v>135</v>
      </c>
      <c r="C76" s="45">
        <v>11613320</v>
      </c>
      <c r="D76" s="45">
        <v>13889052.9</v>
      </c>
      <c r="E76" s="45">
        <v>16208974.699999999</v>
      </c>
      <c r="F76" s="45">
        <v>17626147.699999999</v>
      </c>
      <c r="G76" s="45">
        <v>19802010.600000001</v>
      </c>
      <c r="H76" s="45">
        <v>21623524.600000001</v>
      </c>
      <c r="I76" s="45">
        <v>23752868.600000001</v>
      </c>
      <c r="J76" s="45">
        <v>25462954.600000001</v>
      </c>
      <c r="K76" s="45">
        <v>28001327.600000001</v>
      </c>
      <c r="L76" s="45">
        <v>30401903.199999999</v>
      </c>
      <c r="M76" s="45">
        <v>32056288.199999999</v>
      </c>
      <c r="N76" s="45">
        <v>34343647.5</v>
      </c>
      <c r="O76" s="45">
        <v>36014718.700000003</v>
      </c>
      <c r="P76" s="45">
        <v>37832149.799999997</v>
      </c>
      <c r="Q76" s="45">
        <v>36495246.100000001</v>
      </c>
      <c r="R76" s="45">
        <v>40326625.899999999</v>
      </c>
      <c r="S76" s="45">
        <v>44810030.600000001</v>
      </c>
      <c r="T76" s="45">
        <v>47059272.200000003</v>
      </c>
      <c r="U76" s="45">
        <v>49115934.700000003</v>
      </c>
      <c r="V76" s="45">
        <v>51076285.799999997</v>
      </c>
    </row>
    <row r="78" spans="1:41" ht="14.25" x14ac:dyDescent="0.2">
      <c r="B78" s="191" t="s">
        <v>138</v>
      </c>
    </row>
    <row r="79" spans="1:41" ht="14.25" x14ac:dyDescent="0.2">
      <c r="B79" s="191" t="s">
        <v>139</v>
      </c>
    </row>
    <row r="80" spans="1:41" ht="14.25" x14ac:dyDescent="0.2">
      <c r="B80" s="191" t="s">
        <v>140</v>
      </c>
    </row>
    <row r="83" spans="1:34" x14ac:dyDescent="0.2">
      <c r="A83" s="201" t="s">
        <v>46</v>
      </c>
      <c r="B83" s="201"/>
      <c r="C83" s="201"/>
      <c r="D83" s="201"/>
      <c r="E83" s="201"/>
      <c r="F83" s="201"/>
      <c r="G83" s="201"/>
      <c r="H83" s="201"/>
      <c r="I83" s="201"/>
      <c r="J83" s="201"/>
      <c r="K83" s="201"/>
      <c r="L83" s="201"/>
      <c r="M83" s="201"/>
      <c r="N83" s="201"/>
      <c r="O83" s="201"/>
      <c r="P83" s="201"/>
      <c r="Q83" s="201"/>
      <c r="R83" s="201"/>
      <c r="S83" s="201"/>
      <c r="T83" s="201"/>
      <c r="U83" s="201"/>
      <c r="V83" s="201"/>
      <c r="W83" s="201"/>
      <c r="X83" s="201"/>
      <c r="Y83" s="201"/>
      <c r="Z83" s="201"/>
      <c r="AA83" s="201"/>
      <c r="AB83" s="201"/>
      <c r="AC83" s="201"/>
      <c r="AD83" s="201"/>
      <c r="AE83" s="201"/>
      <c r="AF83" s="201"/>
      <c r="AG83" s="201"/>
      <c r="AH83" s="201"/>
    </row>
    <row r="85" spans="1:34" x14ac:dyDescent="0.2">
      <c r="P85" s="2"/>
      <c r="Q85" s="2"/>
      <c r="R85" s="2"/>
      <c r="S85" s="2"/>
      <c r="T85" s="2"/>
      <c r="U85" s="149"/>
      <c r="V85" s="149"/>
    </row>
    <row r="86" spans="1:34" x14ac:dyDescent="0.2">
      <c r="Q86" s="2"/>
      <c r="R86" s="2"/>
      <c r="S86" s="2"/>
      <c r="T86" s="2"/>
      <c r="U86" s="2"/>
      <c r="V86" s="200"/>
    </row>
    <row r="87" spans="1:34" x14ac:dyDescent="0.2">
      <c r="S87" s="2"/>
      <c r="T87" s="2"/>
      <c r="U87" s="2"/>
      <c r="V87" s="2"/>
    </row>
  </sheetData>
  <mergeCells count="6">
    <mergeCell ref="A83:AH83"/>
    <mergeCell ref="C6:U6"/>
    <mergeCell ref="W6:AN6"/>
    <mergeCell ref="A2:AN2"/>
    <mergeCell ref="A3:AN3"/>
    <mergeCell ref="A4:AN4"/>
  </mergeCells>
  <phoneticPr fontId="0" type="noConversion"/>
  <pageMargins left="0.23622047244094491" right="0.27559055118110237" top="0.78740157480314965" bottom="0.19685039370078741" header="0" footer="0"/>
  <pageSetup scale="65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74F337-5213-4977-B431-E58A01883458}">
  <dimension ref="A1:O64"/>
  <sheetViews>
    <sheetView topLeftCell="A10" zoomScaleNormal="100" workbookViewId="0">
      <selection activeCell="N36" sqref="N36"/>
    </sheetView>
  </sheetViews>
  <sheetFormatPr baseColWidth="10" defaultRowHeight="11.25" x14ac:dyDescent="0.2"/>
  <cols>
    <col min="1" max="1" width="4.7109375" style="53" customWidth="1"/>
    <col min="2" max="2" width="36.85546875" style="53" customWidth="1"/>
    <col min="3" max="5" width="7.85546875" style="53" bestFit="1" customWidth="1"/>
    <col min="6" max="7" width="7.140625" style="53" bestFit="1" customWidth="1"/>
    <col min="8" max="8" width="4.42578125" style="53" customWidth="1"/>
    <col min="9" max="9" width="38.7109375" style="53" customWidth="1"/>
    <col min="10" max="10" width="10.7109375" style="53" customWidth="1"/>
    <col min="11" max="12" width="9.140625" style="53" bestFit="1" customWidth="1"/>
    <col min="13" max="13" width="6.85546875" style="53" bestFit="1" customWidth="1"/>
    <col min="14" max="14" width="7.5703125" style="53" customWidth="1"/>
    <col min="15" max="16384" width="11.42578125" style="53"/>
  </cols>
  <sheetData>
    <row r="1" spans="1:14" x14ac:dyDescent="0.2">
      <c r="B1" s="151"/>
      <c r="C1" s="152" t="s">
        <v>76</v>
      </c>
      <c r="D1" s="152" t="s">
        <v>76</v>
      </c>
      <c r="E1" s="152" t="s">
        <v>76</v>
      </c>
      <c r="F1" s="153" t="s">
        <v>76</v>
      </c>
      <c r="G1" s="153"/>
      <c r="J1" s="55" t="s">
        <v>76</v>
      </c>
      <c r="K1" s="55" t="s">
        <v>76</v>
      </c>
      <c r="L1" s="55" t="s">
        <v>76</v>
      </c>
      <c r="M1" s="153"/>
      <c r="N1" s="153"/>
    </row>
    <row r="2" spans="1:14" x14ac:dyDescent="0.2">
      <c r="B2" s="208" t="s">
        <v>78</v>
      </c>
      <c r="C2" s="208"/>
      <c r="D2" s="208"/>
      <c r="E2" s="208"/>
      <c r="F2" s="208"/>
      <c r="G2" s="208"/>
      <c r="I2" s="208" t="s">
        <v>78</v>
      </c>
      <c r="J2" s="208"/>
      <c r="K2" s="208"/>
      <c r="L2" s="208"/>
      <c r="M2" s="208"/>
      <c r="N2" s="208"/>
    </row>
    <row r="3" spans="1:14" x14ac:dyDescent="0.2">
      <c r="B3" s="208" t="s">
        <v>79</v>
      </c>
      <c r="C3" s="208"/>
      <c r="D3" s="208"/>
      <c r="E3" s="208"/>
      <c r="F3" s="208"/>
      <c r="G3" s="208"/>
      <c r="I3" s="208" t="s">
        <v>79</v>
      </c>
      <c r="J3" s="208"/>
      <c r="K3" s="208"/>
      <c r="L3" s="208"/>
      <c r="M3" s="208"/>
      <c r="N3" s="208"/>
    </row>
    <row r="4" spans="1:14" x14ac:dyDescent="0.2">
      <c r="B4" s="208" t="s">
        <v>80</v>
      </c>
      <c r="C4" s="208"/>
      <c r="D4" s="208"/>
      <c r="E4" s="208"/>
      <c r="F4" s="208"/>
      <c r="G4" s="208"/>
      <c r="I4" s="208" t="s">
        <v>81</v>
      </c>
      <c r="J4" s="208"/>
      <c r="K4" s="208"/>
      <c r="L4" s="208"/>
      <c r="M4" s="208"/>
      <c r="N4" s="208"/>
    </row>
    <row r="5" spans="1:14" x14ac:dyDescent="0.2">
      <c r="B5" s="208" t="s">
        <v>82</v>
      </c>
      <c r="C5" s="208"/>
      <c r="D5" s="208"/>
      <c r="E5" s="208"/>
      <c r="F5" s="208"/>
      <c r="G5" s="208"/>
      <c r="I5" s="208" t="s">
        <v>82</v>
      </c>
      <c r="J5" s="208"/>
      <c r="K5" s="208"/>
      <c r="L5" s="208"/>
      <c r="M5" s="208"/>
      <c r="N5" s="208"/>
    </row>
    <row r="6" spans="1:14" x14ac:dyDescent="0.2">
      <c r="B6" s="154"/>
      <c r="C6" s="154"/>
      <c r="D6" s="154"/>
      <c r="E6" s="154"/>
      <c r="F6" s="154"/>
      <c r="G6" s="154"/>
      <c r="I6" s="154"/>
      <c r="J6" s="154"/>
      <c r="K6" s="154"/>
      <c r="L6" s="154"/>
      <c r="M6" s="154"/>
      <c r="N6" s="154"/>
    </row>
    <row r="7" spans="1:14" ht="11.25" customHeight="1" x14ac:dyDescent="0.2">
      <c r="B7" s="155" t="s">
        <v>0</v>
      </c>
      <c r="C7" s="156">
        <v>2023</v>
      </c>
      <c r="D7" s="156">
        <v>2024</v>
      </c>
      <c r="E7" s="157">
        <v>2025</v>
      </c>
      <c r="F7" s="209" t="s">
        <v>83</v>
      </c>
      <c r="G7" s="210"/>
      <c r="I7" s="155" t="s">
        <v>0</v>
      </c>
      <c r="J7" s="156">
        <v>2023</v>
      </c>
      <c r="K7" s="156">
        <v>2024</v>
      </c>
      <c r="L7" s="157">
        <v>2025</v>
      </c>
      <c r="M7" s="209" t="s">
        <v>83</v>
      </c>
      <c r="N7" s="210"/>
    </row>
    <row r="8" spans="1:14" x14ac:dyDescent="0.2">
      <c r="B8" s="158"/>
      <c r="C8" s="158"/>
      <c r="D8" s="159"/>
      <c r="E8" s="160"/>
      <c r="F8" s="161" t="s">
        <v>77</v>
      </c>
      <c r="G8" s="162" t="s">
        <v>130</v>
      </c>
      <c r="I8" s="158"/>
      <c r="J8" s="156"/>
      <c r="K8" s="156"/>
      <c r="L8" s="157"/>
      <c r="M8" s="162" t="s">
        <v>77</v>
      </c>
      <c r="N8" s="162" t="s">
        <v>130</v>
      </c>
    </row>
    <row r="9" spans="1:14" x14ac:dyDescent="0.2">
      <c r="A9" s="55"/>
      <c r="B9" s="163" t="s">
        <v>84</v>
      </c>
      <c r="C9" s="113">
        <v>549197.11760802998</v>
      </c>
      <c r="D9" s="114">
        <v>533704.14311994996</v>
      </c>
      <c r="E9" s="164">
        <f>E10+E64</f>
        <v>531946.73197511991</v>
      </c>
      <c r="F9" s="58">
        <f>D9/C9-1</f>
        <v>-2.8210225420625012E-2</v>
      </c>
      <c r="G9" s="59">
        <f>E9/D9-1</f>
        <v>-3.2928564776666391E-3</v>
      </c>
      <c r="I9" s="163" t="s">
        <v>84</v>
      </c>
      <c r="J9" s="115">
        <v>6396180.9980050996</v>
      </c>
      <c r="K9" s="116">
        <v>6584860.4403026309</v>
      </c>
      <c r="L9" s="164">
        <f>L10+L64</f>
        <v>6606406.9526698412</v>
      </c>
      <c r="M9" s="59">
        <f>K9/J9-1</f>
        <v>2.9498765334561083E-2</v>
      </c>
      <c r="N9" s="59">
        <f>L9/K9-1</f>
        <v>3.2721289331107961E-3</v>
      </c>
    </row>
    <row r="10" spans="1:14" ht="11.25" customHeight="1" x14ac:dyDescent="0.2">
      <c r="A10" s="55"/>
      <c r="B10" s="165" t="s">
        <v>85</v>
      </c>
      <c r="C10" s="117">
        <v>549197.11760802998</v>
      </c>
      <c r="D10" s="118">
        <v>533704.14311994996</v>
      </c>
      <c r="E10" s="166">
        <f>E12++E61+E62+E63</f>
        <v>531946.73197511991</v>
      </c>
      <c r="F10" s="60">
        <f t="shared" ref="F10:G63" si="0">D10/C10-1</f>
        <v>-2.8210225420625012E-2</v>
      </c>
      <c r="G10" s="61">
        <f>E10/D10-1</f>
        <v>-3.2928564776666391E-3</v>
      </c>
      <c r="I10" s="165" t="s">
        <v>85</v>
      </c>
      <c r="J10" s="117">
        <v>6388830.2533370992</v>
      </c>
      <c r="K10" s="118">
        <v>6577258.7216986306</v>
      </c>
      <c r="L10" s="166">
        <f>L12++L61+L62+L63</f>
        <v>6589978.0023621013</v>
      </c>
      <c r="M10" s="61">
        <f t="shared" ref="M10" si="1">K10/J10-1</f>
        <v>2.949342225254914E-2</v>
      </c>
      <c r="N10" s="61">
        <f>L10/K10-1</f>
        <v>1.9338270245488065E-3</v>
      </c>
    </row>
    <row r="11" spans="1:14" x14ac:dyDescent="0.2">
      <c r="A11" s="55"/>
      <c r="B11" s="167"/>
      <c r="C11" s="113"/>
      <c r="D11" s="119"/>
      <c r="E11" s="164"/>
      <c r="F11" s="62"/>
      <c r="G11" s="63"/>
      <c r="I11" s="167"/>
      <c r="J11" s="120"/>
      <c r="K11" s="121"/>
      <c r="L11" s="164"/>
      <c r="M11" s="64"/>
      <c r="N11" s="64"/>
    </row>
    <row r="12" spans="1:14" x14ac:dyDescent="0.2">
      <c r="A12" s="55"/>
      <c r="B12" s="141" t="s">
        <v>86</v>
      </c>
      <c r="C12" s="103">
        <v>477746.99584980006</v>
      </c>
      <c r="D12" s="108">
        <v>467538.38821638003</v>
      </c>
      <c r="E12" s="168">
        <f>E14+E21+E26+E30+E35+E39+E43+E58+E59</f>
        <v>464558.34455259994</v>
      </c>
      <c r="F12" s="65">
        <f t="shared" si="0"/>
        <v>-2.1368229883395262E-2</v>
      </c>
      <c r="G12" s="66">
        <f>E12/D12-1</f>
        <v>-6.373901563781148E-3</v>
      </c>
      <c r="I12" s="169" t="s">
        <v>86</v>
      </c>
      <c r="J12" s="67">
        <v>5707386.7305077184</v>
      </c>
      <c r="K12" s="108">
        <v>5823359.6013695905</v>
      </c>
      <c r="L12" s="168">
        <f>L14+L21+L26+L30+L35+L39+L43+L58+L59</f>
        <v>5847976.137678151</v>
      </c>
      <c r="M12" s="65">
        <f t="shared" ref="M12" si="2">K12/J12-1</f>
        <v>2.0319784927480322E-2</v>
      </c>
      <c r="N12" s="66">
        <f>L12/K12-1</f>
        <v>4.2272052549821026E-3</v>
      </c>
    </row>
    <row r="13" spans="1:14" x14ac:dyDescent="0.2">
      <c r="A13" s="55"/>
      <c r="B13" s="142"/>
      <c r="C13" s="69"/>
      <c r="D13" s="69"/>
      <c r="E13" s="193"/>
      <c r="F13" s="70"/>
      <c r="G13" s="71"/>
      <c r="I13" s="170"/>
      <c r="J13" s="68"/>
      <c r="K13" s="69"/>
      <c r="L13" s="193"/>
      <c r="M13" s="70"/>
      <c r="N13" s="71"/>
    </row>
    <row r="14" spans="1:14" x14ac:dyDescent="0.2">
      <c r="A14" s="55"/>
      <c r="B14" s="143" t="s">
        <v>87</v>
      </c>
      <c r="C14" s="122">
        <v>126179.39308393002</v>
      </c>
      <c r="D14" s="122">
        <v>126952.29498932</v>
      </c>
      <c r="E14" s="171">
        <f>SUM(E15:E19)</f>
        <v>122119.83911429999</v>
      </c>
      <c r="F14" s="72">
        <f t="shared" si="0"/>
        <v>6.1254210097196893E-3</v>
      </c>
      <c r="G14" s="73">
        <f>E14/D14-1</f>
        <v>-3.8065132067337193E-2</v>
      </c>
      <c r="H14" s="172"/>
      <c r="I14" s="173" t="s">
        <v>87</v>
      </c>
      <c r="J14" s="123">
        <v>2174166.9043487096</v>
      </c>
      <c r="K14" s="122">
        <v>2098900.3722191099</v>
      </c>
      <c r="L14" s="171">
        <f>SUM(L15:L19)</f>
        <v>2130011.2118215002</v>
      </c>
      <c r="M14" s="72">
        <f t="shared" ref="M14:N18" si="3">K14/J14-1</f>
        <v>-3.4618562162386679E-2</v>
      </c>
      <c r="N14" s="73">
        <f t="shared" si="3"/>
        <v>1.482244703663449E-2</v>
      </c>
    </row>
    <row r="15" spans="1:14" x14ac:dyDescent="0.2">
      <c r="A15" s="55"/>
      <c r="B15" s="142" t="s">
        <v>88</v>
      </c>
      <c r="C15" s="75">
        <v>51045.058745570001</v>
      </c>
      <c r="D15" s="75">
        <v>54640.490366719998</v>
      </c>
      <c r="E15" s="194">
        <v>56066.452109879996</v>
      </c>
      <c r="F15" s="76">
        <f>D15/C15-1</f>
        <v>7.0436428314661015E-2</v>
      </c>
      <c r="G15" s="77">
        <f>E15/D15-1</f>
        <v>2.6097162261715656E-2</v>
      </c>
      <c r="I15" s="170" t="s">
        <v>88</v>
      </c>
      <c r="J15" s="74">
        <v>629570.64364343998</v>
      </c>
      <c r="K15" s="75">
        <v>667293.01011289004</v>
      </c>
      <c r="L15" s="194">
        <v>695571.70464901999</v>
      </c>
      <c r="M15" s="78">
        <f t="shared" si="3"/>
        <v>5.9917607103062931E-2</v>
      </c>
      <c r="N15" s="79">
        <f t="shared" si="3"/>
        <v>4.2378226817250564E-2</v>
      </c>
    </row>
    <row r="16" spans="1:14" x14ac:dyDescent="0.2">
      <c r="A16" s="55"/>
      <c r="B16" s="142" t="s">
        <v>89</v>
      </c>
      <c r="C16" s="75">
        <v>56833.16848452</v>
      </c>
      <c r="D16" s="75">
        <v>51787.779045330004</v>
      </c>
      <c r="E16" s="194">
        <v>49196.010491599998</v>
      </c>
      <c r="F16" s="76">
        <f t="shared" ref="F16:G18" si="4">D16/C16-1</f>
        <v>-8.8775438247196137E-2</v>
      </c>
      <c r="G16" s="77">
        <f t="shared" si="4"/>
        <v>-5.0045949092766162E-2</v>
      </c>
      <c r="I16" s="170" t="s">
        <v>89</v>
      </c>
      <c r="J16" s="74">
        <v>1342112.9705598499</v>
      </c>
      <c r="K16" s="75">
        <v>1214319.1033564999</v>
      </c>
      <c r="L16" s="194">
        <v>1225087.1547516303</v>
      </c>
      <c r="M16" s="78">
        <f t="shared" si="3"/>
        <v>-9.521841305955181E-2</v>
      </c>
      <c r="N16" s="79">
        <f t="shared" si="3"/>
        <v>8.8675632009465044E-3</v>
      </c>
    </row>
    <row r="17" spans="1:15" x14ac:dyDescent="0.2">
      <c r="A17" s="55"/>
      <c r="B17" s="142" t="s">
        <v>90</v>
      </c>
      <c r="C17" s="75">
        <v>0</v>
      </c>
      <c r="D17" s="75">
        <v>0</v>
      </c>
      <c r="E17" s="194">
        <v>0</v>
      </c>
      <c r="F17" s="124" t="e">
        <f t="shared" si="4"/>
        <v>#DIV/0!</v>
      </c>
      <c r="G17" s="125" t="e">
        <f t="shared" si="4"/>
        <v>#DIV/0!</v>
      </c>
      <c r="I17" s="170" t="s">
        <v>90</v>
      </c>
      <c r="J17" s="74">
        <v>0</v>
      </c>
      <c r="K17" s="75">
        <v>0</v>
      </c>
      <c r="L17" s="194">
        <v>0</v>
      </c>
      <c r="M17" s="126" t="e">
        <f t="shared" si="3"/>
        <v>#DIV/0!</v>
      </c>
      <c r="N17" s="127" t="e">
        <f t="shared" si="3"/>
        <v>#DIV/0!</v>
      </c>
    </row>
    <row r="18" spans="1:15" x14ac:dyDescent="0.2">
      <c r="A18" s="55"/>
      <c r="B18" s="142" t="s">
        <v>91</v>
      </c>
      <c r="C18" s="75">
        <v>18301.165853840001</v>
      </c>
      <c r="D18" s="75">
        <v>20524.02557727</v>
      </c>
      <c r="E18" s="194">
        <v>16857.376512819999</v>
      </c>
      <c r="F18" s="76">
        <f t="shared" si="4"/>
        <v>0.12146000649262434</v>
      </c>
      <c r="G18" s="77">
        <f t="shared" si="4"/>
        <v>-0.17865155403581012</v>
      </c>
      <c r="I18" s="170" t="s">
        <v>91</v>
      </c>
      <c r="J18" s="74">
        <v>202483.29014542</v>
      </c>
      <c r="K18" s="75">
        <v>217288.25874971997</v>
      </c>
      <c r="L18" s="194">
        <v>209352.35242084999</v>
      </c>
      <c r="M18" s="78">
        <f t="shared" si="3"/>
        <v>7.311698952376422E-2</v>
      </c>
      <c r="N18" s="79">
        <f t="shared" si="3"/>
        <v>-3.6522481124996453E-2</v>
      </c>
    </row>
    <row r="19" spans="1:15" x14ac:dyDescent="0.2">
      <c r="A19" s="55"/>
      <c r="B19" s="142" t="s">
        <v>92</v>
      </c>
      <c r="C19" s="75">
        <v>0</v>
      </c>
      <c r="D19" s="75">
        <v>0</v>
      </c>
      <c r="E19" s="194">
        <v>0</v>
      </c>
      <c r="F19" s="76">
        <v>0</v>
      </c>
      <c r="G19" s="77">
        <v>0</v>
      </c>
      <c r="I19" s="170" t="s">
        <v>92</v>
      </c>
      <c r="J19" s="74">
        <v>0</v>
      </c>
      <c r="K19" s="75">
        <v>0</v>
      </c>
      <c r="L19" s="194">
        <v>0</v>
      </c>
      <c r="M19" s="78">
        <v>0</v>
      </c>
      <c r="N19" s="79">
        <v>0</v>
      </c>
    </row>
    <row r="20" spans="1:15" x14ac:dyDescent="0.2">
      <c r="A20" s="55"/>
      <c r="B20" s="144"/>
      <c r="C20" s="128"/>
      <c r="D20" s="128"/>
      <c r="E20" s="174"/>
      <c r="F20" s="76"/>
      <c r="G20" s="77"/>
      <c r="H20" s="55"/>
      <c r="I20" s="170"/>
      <c r="J20" s="129"/>
      <c r="K20" s="128"/>
      <c r="L20" s="174"/>
      <c r="M20" s="76"/>
      <c r="N20" s="77"/>
    </row>
    <row r="21" spans="1:15" x14ac:dyDescent="0.2">
      <c r="A21" s="55"/>
      <c r="B21" s="175" t="s">
        <v>93</v>
      </c>
      <c r="C21" s="130">
        <v>22288.038875800001</v>
      </c>
      <c r="D21" s="131">
        <v>22964.396620530002</v>
      </c>
      <c r="E21" s="176">
        <f t="shared" ref="E21" si="5">SUM(E22:E24)</f>
        <v>25955.7198207</v>
      </c>
      <c r="F21" s="80">
        <f t="shared" si="0"/>
        <v>3.0346220611827013E-2</v>
      </c>
      <c r="G21" s="81">
        <f>E21/D21-1</f>
        <v>0.13025916812008798</v>
      </c>
      <c r="I21" s="175" t="s">
        <v>93</v>
      </c>
      <c r="J21" s="130">
        <v>147915.16220230001</v>
      </c>
      <c r="K21" s="131">
        <v>109425.15326216999</v>
      </c>
      <c r="L21" s="176">
        <f>SUM(L22:L24)</f>
        <v>135682.31103764</v>
      </c>
      <c r="M21" s="82">
        <f t="shared" ref="M21:N28" si="6">K21/J21-1</f>
        <v>-0.26021679161929434</v>
      </c>
      <c r="N21" s="80">
        <f>L21/K21-1</f>
        <v>0.23995541237727047</v>
      </c>
    </row>
    <row r="22" spans="1:15" x14ac:dyDescent="0.2">
      <c r="A22" s="55"/>
      <c r="B22" s="170" t="s">
        <v>94</v>
      </c>
      <c r="C22" s="74">
        <v>21469.699647450001</v>
      </c>
      <c r="D22" s="75">
        <v>22326.133134</v>
      </c>
      <c r="E22" s="194">
        <v>25605.165598330001</v>
      </c>
      <c r="F22" s="77">
        <f t="shared" si="0"/>
        <v>3.9890333847857118E-2</v>
      </c>
      <c r="G22" s="83">
        <f>E22/D22-1</f>
        <v>0.14686969949742124</v>
      </c>
      <c r="I22" s="170" t="s">
        <v>94</v>
      </c>
      <c r="J22" s="74">
        <v>116719.69584448999</v>
      </c>
      <c r="K22" s="75">
        <v>78906.760366069997</v>
      </c>
      <c r="L22" s="194">
        <v>103479.7507778</v>
      </c>
      <c r="M22" s="52">
        <f t="shared" si="6"/>
        <v>-0.32396362246179589</v>
      </c>
      <c r="N22" s="77">
        <f t="shared" si="6"/>
        <v>0.3114180622513103</v>
      </c>
    </row>
    <row r="23" spans="1:15" x14ac:dyDescent="0.2">
      <c r="A23" s="55"/>
      <c r="B23" s="170" t="s">
        <v>95</v>
      </c>
      <c r="C23" s="74">
        <v>59.458508999999999</v>
      </c>
      <c r="D23" s="75">
        <v>89.811890000000005</v>
      </c>
      <c r="E23" s="194">
        <v>22.895309999999998</v>
      </c>
      <c r="F23" s="77">
        <f t="shared" si="0"/>
        <v>0.51049684074654489</v>
      </c>
      <c r="G23" s="83">
        <f>E23/D23-1</f>
        <v>-0.74507484476721286</v>
      </c>
      <c r="I23" s="170" t="s">
        <v>95</v>
      </c>
      <c r="J23" s="74">
        <v>5363.1392480000004</v>
      </c>
      <c r="K23" s="75">
        <v>5433.910809</v>
      </c>
      <c r="L23" s="194">
        <v>5583.7995039999996</v>
      </c>
      <c r="M23" s="52">
        <f>K23/J23-1</f>
        <v>1.3195920845499476E-2</v>
      </c>
      <c r="N23" s="77">
        <f t="shared" si="6"/>
        <v>2.7583944652117554E-2</v>
      </c>
    </row>
    <row r="24" spans="1:15" x14ac:dyDescent="0.2">
      <c r="A24" s="55"/>
      <c r="B24" s="132" t="s">
        <v>96</v>
      </c>
      <c r="C24" s="74">
        <v>758.88071935000005</v>
      </c>
      <c r="D24" s="75">
        <v>548.45159652999996</v>
      </c>
      <c r="E24" s="194">
        <v>327.65891237</v>
      </c>
      <c r="F24" s="77">
        <f t="shared" si="0"/>
        <v>-0.27728879842966336</v>
      </c>
      <c r="G24" s="83">
        <f t="shared" si="0"/>
        <v>-0.40257460376983834</v>
      </c>
      <c r="I24" s="132" t="s">
        <v>96</v>
      </c>
      <c r="J24" s="74">
        <v>25832.327109809998</v>
      </c>
      <c r="K24" s="75">
        <v>25084.482087099994</v>
      </c>
      <c r="L24" s="194">
        <v>26618.760755840001</v>
      </c>
      <c r="M24" s="52">
        <f>K24/J24-1</f>
        <v>-2.8949967207019589E-2</v>
      </c>
      <c r="N24" s="77">
        <f t="shared" si="6"/>
        <v>6.1164454717963945E-2</v>
      </c>
      <c r="O24" s="55"/>
    </row>
    <row r="25" spans="1:15" x14ac:dyDescent="0.2">
      <c r="A25" s="55"/>
      <c r="B25" s="133"/>
      <c r="C25" s="84"/>
      <c r="D25" s="87"/>
      <c r="E25" s="195"/>
      <c r="F25" s="85"/>
      <c r="G25" s="86"/>
      <c r="I25" s="133"/>
      <c r="J25" s="84"/>
      <c r="K25" s="87"/>
      <c r="L25" s="195"/>
      <c r="M25" s="88"/>
      <c r="N25" s="85"/>
    </row>
    <row r="26" spans="1:15" x14ac:dyDescent="0.2">
      <c r="A26" s="55"/>
      <c r="B26" s="173" t="s">
        <v>97</v>
      </c>
      <c r="C26" s="123">
        <v>15879.729626100001</v>
      </c>
      <c r="D26" s="122">
        <v>17912.728490770001</v>
      </c>
      <c r="E26" s="171">
        <f t="shared" ref="E26" si="7">SUM(E27:E28)</f>
        <v>18025.233700640001</v>
      </c>
      <c r="F26" s="89">
        <f t="shared" si="0"/>
        <v>0.12802477828895475</v>
      </c>
      <c r="G26" s="90">
        <f>E26/D26-1</f>
        <v>6.280741090223696E-3</v>
      </c>
      <c r="I26" s="173" t="s">
        <v>97</v>
      </c>
      <c r="J26" s="123">
        <v>154025.59527958001</v>
      </c>
      <c r="K26" s="122">
        <v>169602.22712811996</v>
      </c>
      <c r="L26" s="171">
        <f>SUM(L27:L28)</f>
        <v>180612.52865215001</v>
      </c>
      <c r="M26" s="90">
        <f t="shared" ref="M26:M28" si="8">K26/J26-1</f>
        <v>0.10113015190927177</v>
      </c>
      <c r="N26" s="90">
        <f>L26/K26-1</f>
        <v>6.4918378198611126E-2</v>
      </c>
    </row>
    <row r="27" spans="1:15" x14ac:dyDescent="0.2">
      <c r="A27" s="55"/>
      <c r="B27" s="170" t="s">
        <v>98</v>
      </c>
      <c r="C27" s="74">
        <v>13093.855617860001</v>
      </c>
      <c r="D27" s="75">
        <v>14812.250107510001</v>
      </c>
      <c r="E27" s="194">
        <v>15002.859422020001</v>
      </c>
      <c r="F27" s="76">
        <f t="shared" si="0"/>
        <v>0.13123670672724641</v>
      </c>
      <c r="G27" s="77">
        <f>E27/D27-1</f>
        <v>1.2868356470254305E-2</v>
      </c>
      <c r="I27" s="170" t="s">
        <v>98</v>
      </c>
      <c r="J27" s="74">
        <v>125935.06451782001</v>
      </c>
      <c r="K27" s="75">
        <v>139235.33249220997</v>
      </c>
      <c r="L27" s="194">
        <v>149009.62322601001</v>
      </c>
      <c r="M27" s="77">
        <f t="shared" si="8"/>
        <v>0.10561211069620691</v>
      </c>
      <c r="N27" s="77">
        <f t="shared" si="6"/>
        <v>7.0199787358908416E-2</v>
      </c>
    </row>
    <row r="28" spans="1:15" x14ac:dyDescent="0.2">
      <c r="A28" s="55"/>
      <c r="B28" s="170" t="s">
        <v>99</v>
      </c>
      <c r="C28" s="74">
        <v>2785.87400824</v>
      </c>
      <c r="D28" s="75">
        <v>3100.4783832600001</v>
      </c>
      <c r="E28" s="194">
        <v>3022.37427862</v>
      </c>
      <c r="F28" s="76">
        <f t="shared" si="0"/>
        <v>0.11292842895603683</v>
      </c>
      <c r="G28" s="77">
        <f>E28/D28-1</f>
        <v>-2.5190985062723548E-2</v>
      </c>
      <c r="I28" s="170" t="s">
        <v>99</v>
      </c>
      <c r="J28" s="74">
        <v>28090.530761760001</v>
      </c>
      <c r="K28" s="75">
        <v>30366.894635909997</v>
      </c>
      <c r="L28" s="194">
        <v>31602.905426139994</v>
      </c>
      <c r="M28" s="77">
        <f t="shared" si="8"/>
        <v>8.1036698574910471E-2</v>
      </c>
      <c r="N28" s="77">
        <f t="shared" si="6"/>
        <v>4.0702574466352059E-2</v>
      </c>
    </row>
    <row r="29" spans="1:15" x14ac:dyDescent="0.2">
      <c r="A29" s="55"/>
      <c r="B29" s="170"/>
      <c r="C29" s="129"/>
      <c r="D29" s="128"/>
      <c r="E29" s="174"/>
      <c r="F29" s="76"/>
      <c r="G29" s="77"/>
      <c r="I29" s="170"/>
      <c r="J29" s="129"/>
      <c r="K29" s="128"/>
      <c r="L29" s="174"/>
      <c r="M29" s="77"/>
      <c r="N29" s="77"/>
    </row>
    <row r="30" spans="1:15" x14ac:dyDescent="0.2">
      <c r="A30" s="55"/>
      <c r="B30" s="175" t="s">
        <v>100</v>
      </c>
      <c r="C30" s="130">
        <v>418.97828363999997</v>
      </c>
      <c r="D30" s="131">
        <v>408.50606659999994</v>
      </c>
      <c r="E30" s="176">
        <f>SUM(E31:E33)</f>
        <v>407.84448486999997</v>
      </c>
      <c r="F30" s="80">
        <f t="shared" si="0"/>
        <v>-2.4994653539127332E-2</v>
      </c>
      <c r="G30" s="81">
        <f>E30/D30-1</f>
        <v>-1.6195150674415126E-3</v>
      </c>
      <c r="I30" s="175" t="s">
        <v>100</v>
      </c>
      <c r="J30" s="130">
        <v>4988.6283467100002</v>
      </c>
      <c r="K30" s="131">
        <v>4707.1437483400005</v>
      </c>
      <c r="L30" s="176">
        <f>SUM(L31:L33)</f>
        <v>4301.6249780900007</v>
      </c>
      <c r="M30" s="82">
        <f t="shared" ref="M30:N37" si="9">K30/J30-1</f>
        <v>-5.6425249348478479E-2</v>
      </c>
      <c r="N30" s="80">
        <f t="shared" si="9"/>
        <v>-8.614964656497015E-2</v>
      </c>
    </row>
    <row r="31" spans="1:15" x14ac:dyDescent="0.2">
      <c r="A31" s="55"/>
      <c r="B31" s="170" t="s">
        <v>101</v>
      </c>
      <c r="C31" s="74">
        <v>15.918499499999999</v>
      </c>
      <c r="D31" s="75">
        <v>15.013199999999999</v>
      </c>
      <c r="E31" s="194">
        <v>14.983692</v>
      </c>
      <c r="F31" s="77">
        <f t="shared" si="0"/>
        <v>-5.6870906708261004E-2</v>
      </c>
      <c r="G31" s="83">
        <f>E31/D31-1</f>
        <v>-1.9654703860602085E-3</v>
      </c>
      <c r="I31" s="170" t="s">
        <v>101</v>
      </c>
      <c r="J31" s="74">
        <v>181.90817249999998</v>
      </c>
      <c r="K31" s="75">
        <v>177.0942135</v>
      </c>
      <c r="L31" s="194">
        <v>156.92074499999998</v>
      </c>
      <c r="M31" s="52">
        <f t="shared" si="9"/>
        <v>-2.6463676336476727E-2</v>
      </c>
      <c r="N31" s="77">
        <f t="shared" si="9"/>
        <v>-0.1139137643252246</v>
      </c>
    </row>
    <row r="32" spans="1:15" x14ac:dyDescent="0.2">
      <c r="A32" s="55"/>
      <c r="B32" s="170" t="s">
        <v>102</v>
      </c>
      <c r="C32" s="74">
        <v>274.82116063999996</v>
      </c>
      <c r="D32" s="75">
        <v>254.32224984999999</v>
      </c>
      <c r="E32" s="194">
        <v>248.18568261999999</v>
      </c>
      <c r="F32" s="77">
        <f t="shared" si="0"/>
        <v>-7.4590001520488336E-2</v>
      </c>
      <c r="G32" s="83">
        <f>E32/D32-1</f>
        <v>-2.412910090886411E-2</v>
      </c>
      <c r="I32" s="170" t="s">
        <v>102</v>
      </c>
      <c r="J32" s="74">
        <v>3217.5821854600003</v>
      </c>
      <c r="K32" s="75">
        <v>2992.9834935900003</v>
      </c>
      <c r="L32" s="194">
        <v>2589.1833263400003</v>
      </c>
      <c r="M32" s="52">
        <f t="shared" si="9"/>
        <v>-6.9803560227596928E-2</v>
      </c>
      <c r="N32" s="77">
        <f t="shared" si="9"/>
        <v>-0.1349156011434105</v>
      </c>
    </row>
    <row r="33" spans="1:14" x14ac:dyDescent="0.2">
      <c r="A33" s="55"/>
      <c r="B33" s="177" t="s">
        <v>103</v>
      </c>
      <c r="C33" s="74">
        <v>128.23862349999999</v>
      </c>
      <c r="D33" s="75">
        <v>139.17061674999999</v>
      </c>
      <c r="E33" s="194">
        <v>144.67511024999999</v>
      </c>
      <c r="F33" s="77">
        <f t="shared" si="0"/>
        <v>8.5247275365522013E-2</v>
      </c>
      <c r="G33" s="83">
        <f t="shared" si="0"/>
        <v>3.9552124065728833E-2</v>
      </c>
      <c r="I33" s="177" t="s">
        <v>103</v>
      </c>
      <c r="J33" s="74">
        <v>1589.13798875</v>
      </c>
      <c r="K33" s="75">
        <v>1537.0660412499999</v>
      </c>
      <c r="L33" s="194">
        <v>1555.5209067500002</v>
      </c>
      <c r="M33" s="52">
        <f t="shared" si="9"/>
        <v>-3.2767417221558848E-2</v>
      </c>
      <c r="N33" s="77">
        <f t="shared" si="9"/>
        <v>1.2006553397661435E-2</v>
      </c>
    </row>
    <row r="34" spans="1:14" x14ac:dyDescent="0.2">
      <c r="A34" s="55"/>
      <c r="B34" s="178"/>
      <c r="C34" s="84"/>
      <c r="D34" s="87"/>
      <c r="E34" s="195"/>
      <c r="F34" s="85"/>
      <c r="G34" s="86"/>
      <c r="I34" s="178"/>
      <c r="J34" s="84"/>
      <c r="K34" s="87"/>
      <c r="L34" s="195"/>
      <c r="M34" s="88"/>
      <c r="N34" s="85"/>
    </row>
    <row r="35" spans="1:14" x14ac:dyDescent="0.2">
      <c r="A35" s="55"/>
      <c r="B35" s="173" t="s">
        <v>104</v>
      </c>
      <c r="C35" s="123">
        <v>191857.29072743998</v>
      </c>
      <c r="D35" s="122">
        <v>198836.32233366999</v>
      </c>
      <c r="E35" s="179">
        <f t="shared" ref="E35" si="10">SUM(E36:E37)</f>
        <v>178621.05337526</v>
      </c>
      <c r="F35" s="91">
        <f t="shared" si="0"/>
        <v>3.6376160529362878E-2</v>
      </c>
      <c r="G35" s="90">
        <f>E35/D35-1</f>
        <v>-0.10166788804555771</v>
      </c>
      <c r="I35" s="173" t="s">
        <v>104</v>
      </c>
      <c r="J35" s="123">
        <v>2086809.23433092</v>
      </c>
      <c r="K35" s="122">
        <v>2200902.8496783497</v>
      </c>
      <c r="L35" s="179">
        <f>SUM(L36:L37)</f>
        <v>2201424.1682666</v>
      </c>
      <c r="M35" s="90">
        <f t="shared" ref="M35:M37" si="11">K35/J35-1</f>
        <v>5.4673715963314162E-2</v>
      </c>
      <c r="N35" s="90">
        <f t="shared" si="9"/>
        <v>2.3686578820436566E-4</v>
      </c>
    </row>
    <row r="36" spans="1:14" x14ac:dyDescent="0.2">
      <c r="A36" s="55"/>
      <c r="B36" s="170" t="s">
        <v>105</v>
      </c>
      <c r="C36" s="74">
        <v>112096.21766750999</v>
      </c>
      <c r="D36" s="75">
        <v>116166.81170259</v>
      </c>
      <c r="E36" s="196">
        <v>99016.911824809999</v>
      </c>
      <c r="F36" s="52">
        <f t="shared" si="0"/>
        <v>3.6313393259653548E-2</v>
      </c>
      <c r="G36" s="77">
        <f>E36/D36-1</f>
        <v>-0.1476316654165144</v>
      </c>
      <c r="I36" s="170" t="s">
        <v>105</v>
      </c>
      <c r="J36" s="74">
        <v>1299131.29692326</v>
      </c>
      <c r="K36" s="75">
        <v>1366571.7109906098</v>
      </c>
      <c r="L36" s="196">
        <v>1343410.6433556902</v>
      </c>
      <c r="M36" s="77">
        <f t="shared" si="11"/>
        <v>5.1911930862622802E-2</v>
      </c>
      <c r="N36" s="77">
        <f t="shared" si="9"/>
        <v>-1.6948300223579515E-2</v>
      </c>
    </row>
    <row r="37" spans="1:14" x14ac:dyDescent="0.2">
      <c r="A37" s="55"/>
      <c r="B37" s="170" t="s">
        <v>106</v>
      </c>
      <c r="C37" s="74">
        <v>79761.073059929986</v>
      </c>
      <c r="D37" s="75">
        <v>82669.510631080004</v>
      </c>
      <c r="E37" s="196">
        <v>79604.141550450004</v>
      </c>
      <c r="F37" s="52">
        <f t="shared" si="0"/>
        <v>3.6464373654611082E-2</v>
      </c>
      <c r="G37" s="77">
        <f>E37/D37-1</f>
        <v>-3.7079801939429391E-2</v>
      </c>
      <c r="I37" s="170" t="s">
        <v>106</v>
      </c>
      <c r="J37" s="74">
        <v>787677.93740766007</v>
      </c>
      <c r="K37" s="75">
        <v>834331.13868773985</v>
      </c>
      <c r="L37" s="196">
        <v>858013.52491090982</v>
      </c>
      <c r="M37" s="77">
        <f t="shared" si="11"/>
        <v>5.9228777479309436E-2</v>
      </c>
      <c r="N37" s="77">
        <f t="shared" si="9"/>
        <v>2.8384876369852652E-2</v>
      </c>
    </row>
    <row r="38" spans="1:14" x14ac:dyDescent="0.2">
      <c r="A38" s="55"/>
      <c r="B38" s="180" t="s">
        <v>76</v>
      </c>
      <c r="C38" s="134"/>
      <c r="D38" s="135"/>
      <c r="E38" s="196"/>
      <c r="F38" s="52"/>
      <c r="G38" s="85"/>
      <c r="I38" s="180" t="s">
        <v>76</v>
      </c>
      <c r="J38" s="134"/>
      <c r="K38" s="135"/>
      <c r="L38" s="181"/>
      <c r="M38" s="77"/>
      <c r="N38" s="77"/>
    </row>
    <row r="39" spans="1:14" x14ac:dyDescent="0.2">
      <c r="A39" s="55"/>
      <c r="B39" s="175" t="s">
        <v>107</v>
      </c>
      <c r="C39" s="130">
        <v>27104.20510929</v>
      </c>
      <c r="D39" s="131">
        <v>28056.824157820003</v>
      </c>
      <c r="E39" s="182">
        <f t="shared" ref="E39" si="12">SUM(E40:E41)</f>
        <v>28920.968096919998</v>
      </c>
      <c r="F39" s="92">
        <f t="shared" si="0"/>
        <v>3.5146540719007913E-2</v>
      </c>
      <c r="G39" s="80">
        <f>E39/D39-1</f>
        <v>3.0799777417400254E-2</v>
      </c>
      <c r="I39" s="175" t="s">
        <v>107</v>
      </c>
      <c r="J39" s="130">
        <v>251324.92931099</v>
      </c>
      <c r="K39" s="131">
        <v>297642.93752441998</v>
      </c>
      <c r="L39" s="182">
        <f>SUM(L40:L41)</f>
        <v>272770.35248934</v>
      </c>
      <c r="M39" s="80">
        <f t="shared" ref="M39:M41" si="13">K39/J39-1</f>
        <v>0.18429531976955604</v>
      </c>
      <c r="N39" s="80">
        <f>L39/K39-1</f>
        <v>-8.356517793417928E-2</v>
      </c>
    </row>
    <row r="40" spans="1:14" x14ac:dyDescent="0.2">
      <c r="A40" s="55"/>
      <c r="B40" s="170" t="s">
        <v>108</v>
      </c>
      <c r="C40" s="74">
        <v>845.047909</v>
      </c>
      <c r="D40" s="75">
        <v>810.32843100000002</v>
      </c>
      <c r="E40" s="196">
        <v>828.043541</v>
      </c>
      <c r="F40" s="76">
        <f t="shared" si="0"/>
        <v>-4.1085810201087591E-2</v>
      </c>
      <c r="G40" s="77">
        <f>E40/D40-1</f>
        <v>2.1861641924791231E-2</v>
      </c>
      <c r="I40" s="170" t="s">
        <v>108</v>
      </c>
      <c r="J40" s="74">
        <v>10346.945874999999</v>
      </c>
      <c r="K40" s="75">
        <v>11145.176476000001</v>
      </c>
      <c r="L40" s="196">
        <v>9669.2069699999993</v>
      </c>
      <c r="M40" s="77">
        <f t="shared" si="13"/>
        <v>7.7146494303083513E-2</v>
      </c>
      <c r="N40" s="77">
        <f>L40/K40-1</f>
        <v>-0.13243123688335945</v>
      </c>
    </row>
    <row r="41" spans="1:14" x14ac:dyDescent="0.2">
      <c r="A41" s="55"/>
      <c r="B41" s="170" t="s">
        <v>109</v>
      </c>
      <c r="C41" s="74">
        <v>26259.157200289999</v>
      </c>
      <c r="D41" s="75">
        <v>27246.495726820001</v>
      </c>
      <c r="E41" s="196">
        <v>28092.924555919999</v>
      </c>
      <c r="F41" s="76">
        <f t="shared" si="0"/>
        <v>3.7599779726330995E-2</v>
      </c>
      <c r="G41" s="77">
        <f>E41/D41-1</f>
        <v>3.1065603356354554E-2</v>
      </c>
      <c r="I41" s="170" t="s">
        <v>109</v>
      </c>
      <c r="J41" s="74">
        <v>240977.98343599</v>
      </c>
      <c r="K41" s="75">
        <v>286497.76104841998</v>
      </c>
      <c r="L41" s="196">
        <v>263101.14551934</v>
      </c>
      <c r="M41" s="77">
        <f t="shared" si="13"/>
        <v>0.18889600188110633</v>
      </c>
      <c r="N41" s="77">
        <f>L41/K41-1</f>
        <v>-8.1664217700904818E-2</v>
      </c>
    </row>
    <row r="42" spans="1:14" x14ac:dyDescent="0.2">
      <c r="A42" s="55"/>
      <c r="B42" s="183" t="s">
        <v>76</v>
      </c>
      <c r="C42" s="134"/>
      <c r="D42" s="135"/>
      <c r="E42" s="196"/>
      <c r="F42" s="93"/>
      <c r="G42" s="85"/>
      <c r="I42" s="183" t="s">
        <v>76</v>
      </c>
      <c r="J42" s="134"/>
      <c r="K42" s="135"/>
      <c r="L42" s="181"/>
      <c r="M42" s="85"/>
      <c r="N42" s="85"/>
    </row>
    <row r="43" spans="1:14" x14ac:dyDescent="0.2">
      <c r="A43" s="55"/>
      <c r="B43" s="175" t="s">
        <v>110</v>
      </c>
      <c r="C43" s="130">
        <v>93966.636159940026</v>
      </c>
      <c r="D43" s="131">
        <v>72407.315557669994</v>
      </c>
      <c r="E43" s="182">
        <f>SUM(E44:E57)-E45-E46</f>
        <v>90507.685959909955</v>
      </c>
      <c r="F43" s="91">
        <f t="shared" si="0"/>
        <v>-0.22943590920477397</v>
      </c>
      <c r="G43" s="90">
        <f>E43/D43-1</f>
        <v>0.24997985718478444</v>
      </c>
      <c r="I43" s="175" t="s">
        <v>110</v>
      </c>
      <c r="J43" s="130">
        <v>886863.80381294002</v>
      </c>
      <c r="K43" s="131">
        <v>942178.91780907998</v>
      </c>
      <c r="L43" s="182">
        <f>SUM(L44:L57)-L45-L46</f>
        <v>923173.94043282978</v>
      </c>
      <c r="M43" s="80">
        <f t="shared" ref="M43:M59" si="14">K43/J43-1</f>
        <v>6.237159951541682E-2</v>
      </c>
      <c r="N43" s="81">
        <f>L43/K43-1</f>
        <v>-2.0171304002899904E-2</v>
      </c>
    </row>
    <row r="44" spans="1:14" x14ac:dyDescent="0.2">
      <c r="A44" s="55"/>
      <c r="B44" s="170" t="s">
        <v>111</v>
      </c>
      <c r="C44" s="74">
        <v>61929.545971920001</v>
      </c>
      <c r="D44" s="75">
        <v>40271.183909359999</v>
      </c>
      <c r="E44" s="196">
        <v>58183.73275879</v>
      </c>
      <c r="F44" s="52">
        <f>D44/C44-1</f>
        <v>-0.34972583316500172</v>
      </c>
      <c r="G44" s="77">
        <f>E44/D44-1</f>
        <v>0.44479816857995802</v>
      </c>
      <c r="I44" s="170" t="s">
        <v>111</v>
      </c>
      <c r="J44" s="74">
        <v>529754.60086381994</v>
      </c>
      <c r="K44" s="75">
        <v>576916.91349925997</v>
      </c>
      <c r="L44" s="194">
        <v>572170.34498158004</v>
      </c>
      <c r="M44" s="77">
        <f>K44/J44-1</f>
        <v>8.9026716442928366E-2</v>
      </c>
      <c r="N44" s="83">
        <f>L44/K44-1</f>
        <v>-8.2274733269472877E-3</v>
      </c>
    </row>
    <row r="45" spans="1:14" x14ac:dyDescent="0.2">
      <c r="A45" s="55"/>
      <c r="B45" s="170" t="s">
        <v>112</v>
      </c>
      <c r="C45" s="74">
        <v>39313.903676000002</v>
      </c>
      <c r="D45" s="75">
        <v>22008.696263000002</v>
      </c>
      <c r="E45" s="196">
        <v>38222.025146</v>
      </c>
      <c r="F45" s="52">
        <f t="shared" ref="F45:G59" si="15">D45/C45-1</f>
        <v>-0.4401803381220657</v>
      </c>
      <c r="G45" s="77">
        <f t="shared" si="15"/>
        <v>0.73667829703557208</v>
      </c>
      <c r="I45" s="170" t="s">
        <v>112</v>
      </c>
      <c r="J45" s="74">
        <v>320645.96004700003</v>
      </c>
      <c r="K45" s="75">
        <v>344887.278926</v>
      </c>
      <c r="L45" s="194">
        <v>355969.78153499996</v>
      </c>
      <c r="M45" s="77">
        <f t="shared" ref="M45:N56" si="16">K45/J45-1</f>
        <v>7.5601510386866133E-2</v>
      </c>
      <c r="N45" s="83">
        <f t="shared" si="16"/>
        <v>3.2133694937985346E-2</v>
      </c>
    </row>
    <row r="46" spans="1:14" x14ac:dyDescent="0.2">
      <c r="A46" s="55"/>
      <c r="B46" s="170" t="s">
        <v>113</v>
      </c>
      <c r="C46" s="74">
        <v>22615.642295919999</v>
      </c>
      <c r="D46" s="75">
        <v>18262.487646360001</v>
      </c>
      <c r="E46" s="196">
        <v>19961.70761279</v>
      </c>
      <c r="F46" s="52">
        <f t="shared" si="15"/>
        <v>-0.19248423691001404</v>
      </c>
      <c r="G46" s="77">
        <f t="shared" si="15"/>
        <v>9.304427739167731E-2</v>
      </c>
      <c r="I46" s="170" t="s">
        <v>113</v>
      </c>
      <c r="J46" s="74">
        <v>209108.64081681997</v>
      </c>
      <c r="K46" s="75">
        <v>232029.63457325997</v>
      </c>
      <c r="L46" s="194">
        <v>216200.56344658</v>
      </c>
      <c r="M46" s="77">
        <f t="shared" si="16"/>
        <v>0.10961284845478425</v>
      </c>
      <c r="N46" s="83">
        <f t="shared" si="16"/>
        <v>-6.8220040753812272E-2</v>
      </c>
    </row>
    <row r="47" spans="1:14" x14ac:dyDescent="0.2">
      <c r="A47" s="55"/>
      <c r="B47" s="170" t="s">
        <v>114</v>
      </c>
      <c r="C47" s="74">
        <v>4610.5467346099995</v>
      </c>
      <c r="D47" s="75">
        <v>4907.66872504</v>
      </c>
      <c r="E47" s="196">
        <v>4563.1214576499997</v>
      </c>
      <c r="F47" s="52">
        <f t="shared" si="0"/>
        <v>6.4443981925092375E-2</v>
      </c>
      <c r="G47" s="77">
        <f t="shared" si="15"/>
        <v>-7.0205893407606079E-2</v>
      </c>
      <c r="I47" s="170" t="s">
        <v>114</v>
      </c>
      <c r="J47" s="74">
        <v>52545.807124639992</v>
      </c>
      <c r="K47" s="75">
        <v>56057.543774250007</v>
      </c>
      <c r="L47" s="194">
        <v>55456.658950899997</v>
      </c>
      <c r="M47" s="77">
        <f>K47/J47-1</f>
        <v>6.6831909942501877E-2</v>
      </c>
      <c r="N47" s="83">
        <f t="shared" si="16"/>
        <v>-1.0719071562782734E-2</v>
      </c>
    </row>
    <row r="48" spans="1:14" x14ac:dyDescent="0.2">
      <c r="A48" s="55"/>
      <c r="B48" s="170" t="s">
        <v>115</v>
      </c>
      <c r="C48" s="74">
        <v>294.80567769999999</v>
      </c>
      <c r="D48" s="75">
        <v>207.25759521999998</v>
      </c>
      <c r="E48" s="196">
        <v>183.60631885000001</v>
      </c>
      <c r="F48" s="52">
        <f t="shared" si="0"/>
        <v>-0.29696878012332806</v>
      </c>
      <c r="G48" s="77">
        <f t="shared" si="15"/>
        <v>-0.1141153661697879</v>
      </c>
      <c r="I48" s="170" t="s">
        <v>115</v>
      </c>
      <c r="J48" s="74">
        <v>2999.7291659000002</v>
      </c>
      <c r="K48" s="75">
        <v>2470.7658693100002</v>
      </c>
      <c r="L48" s="194">
        <v>2381.0448411500006</v>
      </c>
      <c r="M48" s="77">
        <f t="shared" si="14"/>
        <v>-0.17633701822254233</v>
      </c>
      <c r="N48" s="83">
        <f>L48/K48-1</f>
        <v>-3.6313043366207554E-2</v>
      </c>
    </row>
    <row r="49" spans="1:14" x14ac:dyDescent="0.2">
      <c r="A49" s="55"/>
      <c r="B49" s="170" t="s">
        <v>116</v>
      </c>
      <c r="C49" s="74">
        <v>4870.3951710200008</v>
      </c>
      <c r="D49" s="75">
        <v>4758.0654670600006</v>
      </c>
      <c r="E49" s="196">
        <v>4589.4033186099996</v>
      </c>
      <c r="F49" s="52">
        <f t="shared" si="0"/>
        <v>-2.3063776144570003E-2</v>
      </c>
      <c r="G49" s="77">
        <f t="shared" si="15"/>
        <v>-3.5447630894876458E-2</v>
      </c>
      <c r="I49" s="170" t="s">
        <v>116</v>
      </c>
      <c r="J49" s="74">
        <v>50655.436669130002</v>
      </c>
      <c r="K49" s="75">
        <v>52262.208283629989</v>
      </c>
      <c r="L49" s="194">
        <v>51837.280853479999</v>
      </c>
      <c r="M49" s="77">
        <f t="shared" si="14"/>
        <v>3.1719628141694933E-2</v>
      </c>
      <c r="N49" s="83">
        <f t="shared" si="16"/>
        <v>-8.1306826501452711E-3</v>
      </c>
    </row>
    <row r="50" spans="1:14" x14ac:dyDescent="0.2">
      <c r="A50" s="55"/>
      <c r="B50" s="132" t="s">
        <v>117</v>
      </c>
      <c r="C50" s="74">
        <v>3510.8432844399999</v>
      </c>
      <c r="D50" s="75">
        <v>2454.9238395799998</v>
      </c>
      <c r="E50" s="196">
        <v>2812.1643606100001</v>
      </c>
      <c r="F50" s="52">
        <f>D50/C50-1</f>
        <v>-0.30075949260960122</v>
      </c>
      <c r="G50" s="77">
        <f t="shared" si="15"/>
        <v>0.14552000158632983</v>
      </c>
      <c r="I50" s="132" t="s">
        <v>117</v>
      </c>
      <c r="J50" s="74">
        <v>25019.835520880002</v>
      </c>
      <c r="K50" s="75">
        <v>23729.81944929</v>
      </c>
      <c r="L50" s="194">
        <v>20320.16982264</v>
      </c>
      <c r="M50" s="77">
        <f t="shared" si="14"/>
        <v>-5.1559734296152127E-2</v>
      </c>
      <c r="N50" s="83">
        <f t="shared" si="16"/>
        <v>-0.14368628610665712</v>
      </c>
    </row>
    <row r="51" spans="1:14" x14ac:dyDescent="0.2">
      <c r="A51" s="55"/>
      <c r="B51" s="170" t="s">
        <v>118</v>
      </c>
      <c r="C51" s="74">
        <v>2523.471759</v>
      </c>
      <c r="D51" s="75">
        <v>2384.3695990000001</v>
      </c>
      <c r="E51" s="196">
        <v>2180.1924279999998</v>
      </c>
      <c r="F51" s="52">
        <f t="shared" si="0"/>
        <v>-5.5123327417431978E-2</v>
      </c>
      <c r="G51" s="77">
        <f t="shared" si="15"/>
        <v>-8.5631510771497776E-2</v>
      </c>
      <c r="I51" s="170" t="s">
        <v>118</v>
      </c>
      <c r="J51" s="74">
        <v>27364.682149999997</v>
      </c>
      <c r="K51" s="75">
        <v>28538.885597380005</v>
      </c>
      <c r="L51" s="194">
        <v>28318.360385329997</v>
      </c>
      <c r="M51" s="77">
        <f t="shared" si="14"/>
        <v>4.290944952123299E-2</v>
      </c>
      <c r="N51" s="83">
        <f t="shared" si="16"/>
        <v>-7.7271837156196455E-3</v>
      </c>
    </row>
    <row r="52" spans="1:14" x14ac:dyDescent="0.2">
      <c r="A52" s="55"/>
      <c r="B52" s="170" t="s">
        <v>119</v>
      </c>
      <c r="C52" s="74">
        <v>4888.6122290000003</v>
      </c>
      <c r="D52" s="75">
        <v>5124.3101429999997</v>
      </c>
      <c r="E52" s="196">
        <v>4818.6344349999999</v>
      </c>
      <c r="F52" s="52">
        <f t="shared" si="0"/>
        <v>4.8213665342855982E-2</v>
      </c>
      <c r="G52" s="77">
        <f t="shared" si="15"/>
        <v>-5.9652070126466561E-2</v>
      </c>
      <c r="I52" s="170" t="s">
        <v>119</v>
      </c>
      <c r="J52" s="74">
        <v>55305.948184810004</v>
      </c>
      <c r="K52" s="75">
        <v>59062.523146000007</v>
      </c>
      <c r="L52" s="194">
        <v>57252.593241440001</v>
      </c>
      <c r="M52" s="77">
        <f t="shared" si="14"/>
        <v>6.7923525126755813E-2</v>
      </c>
      <c r="N52" s="83">
        <f t="shared" si="16"/>
        <v>-3.0644303835207554E-2</v>
      </c>
    </row>
    <row r="53" spans="1:14" x14ac:dyDescent="0.2">
      <c r="A53" s="55"/>
      <c r="B53" s="170" t="s">
        <v>120</v>
      </c>
      <c r="C53" s="74">
        <v>723.22842185000002</v>
      </c>
      <c r="D53" s="75">
        <v>725.52606809999997</v>
      </c>
      <c r="E53" s="196">
        <v>44.743663189999999</v>
      </c>
      <c r="F53" s="52">
        <f t="shared" si="0"/>
        <v>3.1769302485689099E-3</v>
      </c>
      <c r="G53" s="77">
        <f t="shared" si="15"/>
        <v>-0.93832935140817997</v>
      </c>
      <c r="I53" s="170" t="s">
        <v>120</v>
      </c>
      <c r="J53" s="74">
        <v>8027.6356562299989</v>
      </c>
      <c r="K53" s="75">
        <v>7841.0986902200002</v>
      </c>
      <c r="L53" s="194">
        <v>1909.2471736100001</v>
      </c>
      <c r="M53" s="77">
        <f t="shared" si="14"/>
        <v>-2.3236850051264191E-2</v>
      </c>
      <c r="N53" s="83">
        <f t="shared" si="16"/>
        <v>-0.75650769757669867</v>
      </c>
    </row>
    <row r="54" spans="1:14" x14ac:dyDescent="0.2">
      <c r="A54" s="55"/>
      <c r="B54" s="170" t="s">
        <v>121</v>
      </c>
      <c r="C54" s="74">
        <v>4155.3317569000001</v>
      </c>
      <c r="D54" s="75">
        <v>3886.2116814400001</v>
      </c>
      <c r="E54" s="196">
        <v>3875.9143061199998</v>
      </c>
      <c r="F54" s="52">
        <f t="shared" si="0"/>
        <v>-6.4765003423161494E-2</v>
      </c>
      <c r="G54" s="77">
        <f t="shared" si="15"/>
        <v>-2.649720644189113E-3</v>
      </c>
      <c r="I54" s="170" t="s">
        <v>121</v>
      </c>
      <c r="J54" s="74">
        <v>50494.575525190005</v>
      </c>
      <c r="K54" s="75">
        <v>53092.995755240001</v>
      </c>
      <c r="L54" s="194">
        <v>52995.248392500005</v>
      </c>
      <c r="M54" s="77">
        <f t="shared" si="14"/>
        <v>5.1459393469972525E-2</v>
      </c>
      <c r="N54" s="83">
        <f t="shared" si="16"/>
        <v>-1.841059472149853E-3</v>
      </c>
    </row>
    <row r="55" spans="1:14" x14ac:dyDescent="0.2">
      <c r="A55" s="55"/>
      <c r="B55" s="170" t="s">
        <v>122</v>
      </c>
      <c r="C55" s="74">
        <v>321.18180398000004</v>
      </c>
      <c r="D55" s="75">
        <v>111.13221518</v>
      </c>
      <c r="E55" s="196">
        <v>0</v>
      </c>
      <c r="F55" s="52">
        <f t="shared" si="0"/>
        <v>-0.65398969118773553</v>
      </c>
      <c r="G55" s="77">
        <f t="shared" si="15"/>
        <v>-1</v>
      </c>
      <c r="I55" s="170" t="s">
        <v>122</v>
      </c>
      <c r="J55" s="74">
        <v>1769.5484643100001</v>
      </c>
      <c r="K55" s="75">
        <v>1007.75796496</v>
      </c>
      <c r="L55" s="194">
        <v>347.26550637000003</v>
      </c>
      <c r="M55" s="77">
        <f t="shared" si="14"/>
        <v>-0.43049993527419161</v>
      </c>
      <c r="N55" s="83">
        <f t="shared" si="16"/>
        <v>-0.6554078276287465</v>
      </c>
    </row>
    <row r="56" spans="1:14" x14ac:dyDescent="0.2">
      <c r="A56" s="55"/>
      <c r="B56" s="170" t="s">
        <v>123</v>
      </c>
      <c r="C56" s="74">
        <v>2475.8072228200003</v>
      </c>
      <c r="D56" s="75">
        <v>1979.0828886700001</v>
      </c>
      <c r="E56" s="196">
        <v>2612.32578306</v>
      </c>
      <c r="F56" s="52">
        <f t="shared" si="0"/>
        <v>-0.2006312646524312</v>
      </c>
      <c r="G56" s="77">
        <f t="shared" si="15"/>
        <v>0.31996784875218509</v>
      </c>
      <c r="I56" s="170" t="s">
        <v>123</v>
      </c>
      <c r="J56" s="74">
        <v>27415.806075250002</v>
      </c>
      <c r="K56" s="75">
        <v>20785.170332169997</v>
      </c>
      <c r="L56" s="194">
        <v>17427.836456610003</v>
      </c>
      <c r="M56" s="77">
        <f t="shared" si="14"/>
        <v>-0.24185448805993359</v>
      </c>
      <c r="N56" s="83">
        <f t="shared" si="16"/>
        <v>-0.16152544443495476</v>
      </c>
    </row>
    <row r="57" spans="1:14" x14ac:dyDescent="0.2">
      <c r="A57" s="55"/>
      <c r="B57" s="170" t="s">
        <v>124</v>
      </c>
      <c r="C57" s="74">
        <v>3662.8661267000002</v>
      </c>
      <c r="D57" s="75">
        <v>5597.5834260200008</v>
      </c>
      <c r="E57" s="196">
        <v>6643.8471300300016</v>
      </c>
      <c r="F57" s="52">
        <f t="shared" si="0"/>
        <v>0.52819765516875528</v>
      </c>
      <c r="G57" s="77">
        <f t="shared" si="15"/>
        <v>0.18691346325389491</v>
      </c>
      <c r="I57" s="170" t="s">
        <v>124</v>
      </c>
      <c r="J57" s="74">
        <v>55510.198412779995</v>
      </c>
      <c r="K57" s="75">
        <v>60413.235447369989</v>
      </c>
      <c r="L57" s="194">
        <v>62757.889827220002</v>
      </c>
      <c r="M57" s="77">
        <f t="shared" si="14"/>
        <v>8.8326779128593103E-2</v>
      </c>
      <c r="N57" s="83">
        <f>L57/K57-1</f>
        <v>3.8810276630401708E-2</v>
      </c>
    </row>
    <row r="58" spans="1:14" x14ac:dyDescent="0.2">
      <c r="A58" s="55"/>
      <c r="B58" s="170" t="s">
        <v>125</v>
      </c>
      <c r="C58" s="74">
        <v>0</v>
      </c>
      <c r="D58" s="75">
        <v>0</v>
      </c>
      <c r="E58" s="196">
        <v>0</v>
      </c>
      <c r="F58" s="136" t="e">
        <f t="shared" si="0"/>
        <v>#DIV/0!</v>
      </c>
      <c r="G58" s="125" t="e">
        <f t="shared" si="15"/>
        <v>#DIV/0!</v>
      </c>
      <c r="I58" s="170" t="s">
        <v>125</v>
      </c>
      <c r="J58" s="74">
        <v>0</v>
      </c>
      <c r="K58" s="75">
        <v>0</v>
      </c>
      <c r="L58" s="194">
        <v>0</v>
      </c>
      <c r="M58" s="125" t="e">
        <f t="shared" si="14"/>
        <v>#DIV/0!</v>
      </c>
      <c r="N58" s="145" t="e">
        <f>L58/K58-1</f>
        <v>#DIV/0!</v>
      </c>
    </row>
    <row r="59" spans="1:14" x14ac:dyDescent="0.2">
      <c r="A59" s="55"/>
      <c r="B59" s="170" t="s">
        <v>126</v>
      </c>
      <c r="C59" s="74">
        <v>52.723983659999995</v>
      </c>
      <c r="D59" s="75">
        <v>0</v>
      </c>
      <c r="E59" s="196">
        <v>0</v>
      </c>
      <c r="F59" s="136">
        <f t="shared" si="0"/>
        <v>-1</v>
      </c>
      <c r="G59" s="125" t="e">
        <f t="shared" si="15"/>
        <v>#DIV/0!</v>
      </c>
      <c r="I59" s="170" t="s">
        <v>126</v>
      </c>
      <c r="J59" s="74">
        <v>1292.4728755699998</v>
      </c>
      <c r="K59" s="75">
        <v>0</v>
      </c>
      <c r="L59" s="194">
        <v>0</v>
      </c>
      <c r="M59" s="125">
        <f t="shared" si="14"/>
        <v>-1</v>
      </c>
      <c r="N59" s="145" t="e">
        <f>L59/K59-1</f>
        <v>#DIV/0!</v>
      </c>
    </row>
    <row r="60" spans="1:14" x14ac:dyDescent="0.2">
      <c r="A60" s="55"/>
      <c r="B60" s="184"/>
      <c r="C60" s="137"/>
      <c r="D60" s="138"/>
      <c r="E60" s="185"/>
      <c r="F60" s="88"/>
      <c r="G60" s="85"/>
      <c r="I60" s="184"/>
      <c r="J60" s="139"/>
      <c r="K60" s="140"/>
      <c r="L60" s="186"/>
      <c r="M60" s="85"/>
      <c r="N60" s="86"/>
    </row>
    <row r="61" spans="1:14" x14ac:dyDescent="0.2">
      <c r="A61" s="55"/>
      <c r="B61" s="187" t="s">
        <v>33</v>
      </c>
      <c r="C61" s="94">
        <v>45866.490417370005</v>
      </c>
      <c r="D61" s="109">
        <v>50148.782423540004</v>
      </c>
      <c r="E61" s="109">
        <v>52724.76075981</v>
      </c>
      <c r="F61" s="95">
        <f t="shared" si="0"/>
        <v>9.3364283318879471E-2</v>
      </c>
      <c r="G61" s="96">
        <f>E61/D61-1</f>
        <v>5.1366717431225783E-2</v>
      </c>
      <c r="I61" s="187" t="s">
        <v>33</v>
      </c>
      <c r="J61" s="94">
        <v>506695.55892475008</v>
      </c>
      <c r="K61" s="109">
        <v>538336.8910344399</v>
      </c>
      <c r="L61" s="197">
        <v>565371.76472114003</v>
      </c>
      <c r="M61" s="96">
        <f t="shared" ref="M61:M63" si="17">K61/J61-1</f>
        <v>6.2446436627223267E-2</v>
      </c>
      <c r="N61" s="96">
        <f>L61/K61-1</f>
        <v>5.0219247718192417E-2</v>
      </c>
    </row>
    <row r="62" spans="1:14" x14ac:dyDescent="0.2">
      <c r="A62" s="55"/>
      <c r="B62" s="187" t="s">
        <v>12</v>
      </c>
      <c r="C62" s="97">
        <v>11442.387773819999</v>
      </c>
      <c r="D62" s="97">
        <v>10603.969222870001</v>
      </c>
      <c r="E62" s="97">
        <v>13520.50663756</v>
      </c>
      <c r="F62" s="98">
        <f t="shared" si="0"/>
        <v>-7.3273041215076384E-2</v>
      </c>
      <c r="G62" s="99">
        <f t="shared" si="0"/>
        <v>0.27504204825489187</v>
      </c>
      <c r="I62" s="187" t="s">
        <v>12</v>
      </c>
      <c r="J62" s="97">
        <v>145403.75883032999</v>
      </c>
      <c r="K62" s="110">
        <v>167773.39879191999</v>
      </c>
      <c r="L62" s="198">
        <v>154722.20351704003</v>
      </c>
      <c r="M62" s="99">
        <f t="shared" si="17"/>
        <v>0.15384499095166371</v>
      </c>
      <c r="N62" s="99">
        <f>L62/K62-1</f>
        <v>-7.7790611436957424E-2</v>
      </c>
    </row>
    <row r="63" spans="1:14" x14ac:dyDescent="0.2">
      <c r="A63" s="55"/>
      <c r="B63" s="188" t="s">
        <v>127</v>
      </c>
      <c r="C63" s="100">
        <v>14141.243567040001</v>
      </c>
      <c r="D63" s="111">
        <v>5413.0032571599995</v>
      </c>
      <c r="E63" s="111">
        <v>1143.1200251500002</v>
      </c>
      <c r="F63" s="101">
        <f t="shared" si="0"/>
        <v>-0.6172187239758411</v>
      </c>
      <c r="G63" s="102">
        <f t="shared" si="0"/>
        <v>-0.78881963101759656</v>
      </c>
      <c r="I63" s="187" t="s">
        <v>127</v>
      </c>
      <c r="J63" s="100">
        <v>29344.2050743</v>
      </c>
      <c r="K63" s="111">
        <v>47788.830502679994</v>
      </c>
      <c r="L63" s="199">
        <v>21907.896445770002</v>
      </c>
      <c r="M63" s="102">
        <f t="shared" si="17"/>
        <v>0.62856108664991628</v>
      </c>
      <c r="N63" s="102">
        <f>L63/K63-1</f>
        <v>-0.54156868424429416</v>
      </c>
    </row>
    <row r="64" spans="1:14" x14ac:dyDescent="0.2">
      <c r="A64" s="55"/>
      <c r="B64" s="188" t="s">
        <v>128</v>
      </c>
      <c r="C64" s="100">
        <v>0</v>
      </c>
      <c r="D64" s="111">
        <v>0</v>
      </c>
      <c r="E64" s="111">
        <v>0</v>
      </c>
      <c r="F64" s="101">
        <v>0</v>
      </c>
      <c r="G64" s="102">
        <v>0</v>
      </c>
      <c r="H64" s="189"/>
      <c r="I64" s="190" t="s">
        <v>128</v>
      </c>
      <c r="J64" s="100">
        <v>7350.7446680000003</v>
      </c>
      <c r="K64" s="111">
        <v>7601.7186040000006</v>
      </c>
      <c r="L64" s="199">
        <v>16428.95030774</v>
      </c>
      <c r="M64" s="104">
        <v>0</v>
      </c>
      <c r="N64" s="102">
        <v>0</v>
      </c>
    </row>
  </sheetData>
  <mergeCells count="10">
    <mergeCell ref="B5:G5"/>
    <mergeCell ref="I5:N5"/>
    <mergeCell ref="F7:G7"/>
    <mergeCell ref="M7:N7"/>
    <mergeCell ref="B2:G2"/>
    <mergeCell ref="I2:N2"/>
    <mergeCell ref="B3:G3"/>
    <mergeCell ref="I3:N3"/>
    <mergeCell ref="B4:G4"/>
    <mergeCell ref="I4:N4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B04A67B5499E14787401D8D5CC90E62" ma:contentTypeVersion="14" ma:contentTypeDescription="Crear nuevo documento." ma:contentTypeScope="" ma:versionID="fe095ecd239d9152391949dc7f61bcff">
  <xsd:schema xmlns:xsd="http://www.w3.org/2001/XMLSchema" xmlns:xs="http://www.w3.org/2001/XMLSchema" xmlns:p="http://schemas.microsoft.com/office/2006/metadata/properties" xmlns:ns2="bfa8d9ad-d8d6-4138-9f3e-bbfc7e84e762" xmlns:ns3="8f7f62a7-2cfd-44f2-bfa8-5090edd2ce5d" xmlns:ns4="9fc00ab8-26fd-4610-8c83-f668fc072a64" targetNamespace="http://schemas.microsoft.com/office/2006/metadata/properties" ma:root="true" ma:fieldsID="52afec7d813f766d8c7989f4cbc4017e" ns2:_="" ns3:_="" ns4:_="">
    <xsd:import namespace="bfa8d9ad-d8d6-4138-9f3e-bbfc7e84e762"/>
    <xsd:import namespace="8f7f62a7-2cfd-44f2-bfa8-5090edd2ce5d"/>
    <xsd:import namespace="9fc00ab8-26fd-4610-8c83-f668fc072a6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4:SharedWithUsers" minOccurs="0"/>
                <xsd:element ref="ns4:SharedWithDetail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a8d9ad-d8d6-4138-9f3e-bbfc7e84e7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Etiquetas de imagen" ma:readOnly="false" ma:fieldId="{5cf76f15-5ced-4ddc-b409-7134ff3c332f}" ma:taxonomyMulti="true" ma:sspId="37301049-b90b-4ad5-8634-b2f39309c4b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7f62a7-2cfd-44f2-bfa8-5090edd2ce5d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11186a89-7ce7-4ce9-9f81-e05a56f9bdbd}" ma:internalName="TaxCatchAll" ma:showField="CatchAllData" ma:web="8f7f62a7-2cfd-44f2-bfa8-5090edd2ce5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c00ab8-26fd-4610-8c83-f668fc072a64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fa8d9ad-d8d6-4138-9f3e-bbfc7e84e762">
      <Terms xmlns="http://schemas.microsoft.com/office/infopath/2007/PartnerControls"/>
    </lcf76f155ced4ddcb4097134ff3c332f>
    <TaxCatchAll xmlns="8f7f62a7-2cfd-44f2-bfa8-5090edd2ce5d" xsi:nil="true"/>
  </documentManagement>
</p:properties>
</file>

<file path=customXml/itemProps1.xml><?xml version="1.0" encoding="utf-8"?>
<ds:datastoreItem xmlns:ds="http://schemas.openxmlformats.org/officeDocument/2006/customXml" ds:itemID="{519238F5-9249-4324-B67B-DFA4CD7A0B0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fa8d9ad-d8d6-4138-9f3e-bbfc7e84e762"/>
    <ds:schemaRef ds:uri="8f7f62a7-2cfd-44f2-bfa8-5090edd2ce5d"/>
    <ds:schemaRef ds:uri="9fc00ab8-26fd-4610-8c83-f668fc072a6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E78624A-A80D-4E38-82F2-CA748395CDE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287B18D-E2C2-41BD-8931-2A998463BEAE}">
  <ds:schemaRefs>
    <ds:schemaRef ds:uri="http://schemas.microsoft.com/office/2006/metadata/properties"/>
    <ds:schemaRef ds:uri="http://schemas.microsoft.com/office/infopath/2007/PartnerControls"/>
    <ds:schemaRef ds:uri="bfa8d9ad-d8d6-4138-9f3e-bbfc7e84e762"/>
    <ds:schemaRef ds:uri="8f7f62a7-2cfd-44f2-bfa8-5090edd2ce5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SIMPLE</vt:lpstr>
      <vt:lpstr>ACUMULADO</vt:lpstr>
      <vt:lpstr>Ingresos</vt:lpstr>
      <vt:lpstr>ACUMULADO!Área_de_impresión</vt:lpstr>
      <vt:lpstr>SIMPLE!Área_de_impresión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Leonel Rivera Solano</cp:lastModifiedBy>
  <cp:lastPrinted>2023-01-16T19:27:42Z</cp:lastPrinted>
  <dcterms:created xsi:type="dcterms:W3CDTF">1996-11-27T10:00:04Z</dcterms:created>
  <dcterms:modified xsi:type="dcterms:W3CDTF">2025-12-18T15:47:37Z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0x010100EB04A67B5499E14787401D8D5CC90E62</vt:lpwstr>
  </property>
</Properties>
</file>