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10 Octubre 2025/"/>
    </mc:Choice>
  </mc:AlternateContent>
  <xr:revisionPtr revIDLastSave="487" documentId="8_{BB8F26EB-DFE0-4CC5-968A-EF632B1EB95D}" xr6:coauthVersionLast="47" xr6:coauthVersionMax="47" xr10:uidLastSave="{E8103A8E-6E4B-46B2-A84C-545CFD9CEB83}"/>
  <bookViews>
    <workbookView xWindow="-110" yWindow="-110" windowWidth="19420" windowHeight="10300" tabRatio="464" xr2:uid="{FD9B92DE-B48B-459A-8667-592EB1E81D59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_xlnm._FilterDatabase" localSheetId="0" hidden="1">SIMPLE!$A$6:$AH$9</definedName>
    <definedName name="ANITA">#REF!</definedName>
    <definedName name="_xlnm.Print_Area" localSheetId="1">ACUMULADO!$A$1:$AG$84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1" l="1"/>
  <c r="M63" i="11"/>
  <c r="G63" i="11"/>
  <c r="F63" i="11"/>
  <c r="N62" i="11"/>
  <c r="M62" i="11"/>
  <c r="G62" i="11"/>
  <c r="F62" i="11"/>
  <c r="N61" i="11"/>
  <c r="M61" i="11"/>
  <c r="G61" i="11"/>
  <c r="F61" i="11"/>
  <c r="N59" i="11"/>
  <c r="M59" i="11"/>
  <c r="G59" i="11"/>
  <c r="F59" i="11"/>
  <c r="N58" i="11"/>
  <c r="M58" i="11"/>
  <c r="G58" i="11"/>
  <c r="F58" i="11"/>
  <c r="N57" i="11"/>
  <c r="M57" i="11"/>
  <c r="G57" i="11"/>
  <c r="F57" i="11"/>
  <c r="N56" i="11"/>
  <c r="M56" i="11"/>
  <c r="G56" i="11"/>
  <c r="F56" i="11"/>
  <c r="N55" i="11"/>
  <c r="M55" i="11"/>
  <c r="G55" i="11"/>
  <c r="F55" i="11"/>
  <c r="N54" i="11"/>
  <c r="M54" i="11"/>
  <c r="G54" i="11"/>
  <c r="F54" i="11"/>
  <c r="N53" i="11"/>
  <c r="M53" i="11"/>
  <c r="G53" i="11"/>
  <c r="F53" i="11"/>
  <c r="N52" i="11"/>
  <c r="M52" i="11"/>
  <c r="G52" i="11"/>
  <c r="F52" i="11"/>
  <c r="N51" i="11"/>
  <c r="M51" i="11"/>
  <c r="G51" i="11"/>
  <c r="F51" i="11"/>
  <c r="N50" i="11"/>
  <c r="M50" i="11"/>
  <c r="G50" i="11"/>
  <c r="F50" i="11"/>
  <c r="N49" i="11"/>
  <c r="M49" i="11"/>
  <c r="G49" i="11"/>
  <c r="F49" i="11"/>
  <c r="N48" i="11"/>
  <c r="M48" i="11"/>
  <c r="G48" i="11"/>
  <c r="F48" i="11"/>
  <c r="N47" i="11"/>
  <c r="M47" i="11"/>
  <c r="G47" i="11"/>
  <c r="F47" i="11"/>
  <c r="N46" i="11"/>
  <c r="M46" i="11"/>
  <c r="G46" i="11"/>
  <c r="F46" i="11"/>
  <c r="N45" i="11"/>
  <c r="M45" i="11"/>
  <c r="G45" i="11"/>
  <c r="F45" i="11"/>
  <c r="N44" i="11"/>
  <c r="M44" i="11"/>
  <c r="G44" i="11"/>
  <c r="F44" i="11"/>
  <c r="M43" i="11"/>
  <c r="L43" i="11"/>
  <c r="N43" i="11" s="1"/>
  <c r="F43" i="11"/>
  <c r="E43" i="11"/>
  <c r="G43" i="11" s="1"/>
  <c r="N41" i="11"/>
  <c r="M41" i="11"/>
  <c r="G41" i="11"/>
  <c r="F41" i="11"/>
  <c r="N40" i="11"/>
  <c r="M40" i="11"/>
  <c r="L39" i="11"/>
  <c r="N39" i="11" s="1"/>
  <c r="G40" i="11"/>
  <c r="F40" i="11"/>
  <c r="E39" i="11"/>
  <c r="G39" i="11" s="1"/>
  <c r="M39" i="11"/>
  <c r="F39" i="11"/>
  <c r="N37" i="11"/>
  <c r="M37" i="11"/>
  <c r="G37" i="11"/>
  <c r="F37" i="11"/>
  <c r="N36" i="11"/>
  <c r="M36" i="11"/>
  <c r="L35" i="11"/>
  <c r="N35" i="11" s="1"/>
  <c r="F36" i="11"/>
  <c r="E35" i="11"/>
  <c r="G35" i="11" s="1"/>
  <c r="M35" i="11"/>
  <c r="F35" i="11"/>
  <c r="N33" i="11"/>
  <c r="M33" i="11"/>
  <c r="F33" i="11"/>
  <c r="G33" i="11"/>
  <c r="M32" i="11"/>
  <c r="N32" i="11"/>
  <c r="G32" i="11"/>
  <c r="F32" i="11"/>
  <c r="N31" i="11"/>
  <c r="M31" i="11"/>
  <c r="F31" i="11"/>
  <c r="E30" i="11"/>
  <c r="G30" i="11" s="1"/>
  <c r="M30" i="11"/>
  <c r="L30" i="11"/>
  <c r="N30" i="11" s="1"/>
  <c r="F30" i="11"/>
  <c r="N28" i="11"/>
  <c r="M28" i="11"/>
  <c r="F28" i="11"/>
  <c r="G28" i="11"/>
  <c r="M27" i="11"/>
  <c r="L26" i="11"/>
  <c r="N26" i="11" s="1"/>
  <c r="G27" i="11"/>
  <c r="F27" i="11"/>
  <c r="M26" i="11"/>
  <c r="F26" i="11"/>
  <c r="E26" i="11"/>
  <c r="G26" i="11" s="1"/>
  <c r="M24" i="11"/>
  <c r="N24" i="11"/>
  <c r="G24" i="11"/>
  <c r="F24" i="11"/>
  <c r="N23" i="11"/>
  <c r="M23" i="11"/>
  <c r="F23" i="11"/>
  <c r="G23" i="11"/>
  <c r="M22" i="11"/>
  <c r="L21" i="11"/>
  <c r="N21" i="11" s="1"/>
  <c r="G22" i="11"/>
  <c r="F22" i="11"/>
  <c r="M21" i="11"/>
  <c r="F21" i="11"/>
  <c r="E21" i="11"/>
  <c r="G21" i="11" s="1"/>
  <c r="N18" i="11"/>
  <c r="M18" i="11"/>
  <c r="G18" i="11"/>
  <c r="F18" i="11"/>
  <c r="N17" i="11"/>
  <c r="M17" i="11"/>
  <c r="G17" i="11"/>
  <c r="F17" i="11"/>
  <c r="N16" i="11"/>
  <c r="M16" i="11"/>
  <c r="G16" i="11"/>
  <c r="F16" i="11"/>
  <c r="N15" i="11"/>
  <c r="M15" i="11"/>
  <c r="L14" i="11"/>
  <c r="G15" i="11"/>
  <c r="F15" i="11"/>
  <c r="E14" i="11"/>
  <c r="M14" i="11"/>
  <c r="F14" i="11"/>
  <c r="M12" i="11"/>
  <c r="F12" i="11"/>
  <c r="M10" i="11"/>
  <c r="F10" i="11"/>
  <c r="M9" i="11"/>
  <c r="F9" i="11"/>
  <c r="V17" i="10"/>
  <c r="G14" i="11" l="1"/>
  <c r="E12" i="11"/>
  <c r="N14" i="11"/>
  <c r="L12" i="11"/>
  <c r="N22" i="11"/>
  <c r="N27" i="11"/>
  <c r="G31" i="11"/>
  <c r="G36" i="11"/>
  <c r="AI12" i="1"/>
  <c r="AO66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7" i="1"/>
  <c r="AO26" i="1"/>
  <c r="AO25" i="1"/>
  <c r="AO23" i="1"/>
  <c r="AO22" i="1"/>
  <c r="AO20" i="1"/>
  <c r="AO19" i="1"/>
  <c r="AO18" i="1"/>
  <c r="AO16" i="1"/>
  <c r="AO15" i="1"/>
  <c r="AO13" i="1"/>
  <c r="L10" i="11" l="1"/>
  <c r="N12" i="11"/>
  <c r="E10" i="11"/>
  <c r="G12" i="11"/>
  <c r="V73" i="1"/>
  <c r="V65" i="1"/>
  <c r="V59" i="1"/>
  <c r="V50" i="1"/>
  <c r="V46" i="1"/>
  <c r="AO46" i="1" s="1"/>
  <c r="V42" i="1"/>
  <c r="AO42" i="1" s="1"/>
  <c r="V24" i="1"/>
  <c r="AO24" i="1" s="1"/>
  <c r="V21" i="1"/>
  <c r="AO21" i="1" s="1"/>
  <c r="V17" i="1"/>
  <c r="AO17" i="1" s="1"/>
  <c r="V14" i="1"/>
  <c r="AO14" i="1" s="1"/>
  <c r="AO66" i="10"/>
  <c r="AO63" i="10"/>
  <c r="AO62" i="10"/>
  <c r="AO61" i="10"/>
  <c r="AO60" i="10"/>
  <c r="AO58" i="10"/>
  <c r="AO54" i="10"/>
  <c r="AO53" i="10"/>
  <c r="AO52" i="10"/>
  <c r="AO51" i="10"/>
  <c r="AO48" i="10"/>
  <c r="AO47" i="10"/>
  <c r="AO45" i="10"/>
  <c r="AO44" i="10"/>
  <c r="AO43" i="10"/>
  <c r="AO34" i="10"/>
  <c r="AO32" i="10"/>
  <c r="AO31" i="10"/>
  <c r="AO30" i="10"/>
  <c r="AO29" i="10"/>
  <c r="AO28" i="10"/>
  <c r="AO27" i="10"/>
  <c r="AO26" i="10"/>
  <c r="AO25" i="10"/>
  <c r="AO23" i="10"/>
  <c r="AO22" i="10"/>
  <c r="AO20" i="10"/>
  <c r="AO19" i="10"/>
  <c r="AO18" i="10"/>
  <c r="AO16" i="10"/>
  <c r="AO15" i="10"/>
  <c r="AO13" i="10"/>
  <c r="V73" i="10"/>
  <c r="V65" i="10"/>
  <c r="AO65" i="10" s="1"/>
  <c r="V59" i="10"/>
  <c r="V56" i="10" s="1"/>
  <c r="AO56" i="10" s="1"/>
  <c r="V50" i="10"/>
  <c r="AO50" i="10" s="1"/>
  <c r="V46" i="10"/>
  <c r="AO46" i="10" s="1"/>
  <c r="V42" i="10"/>
  <c r="V24" i="10"/>
  <c r="V21" i="10"/>
  <c r="AO21" i="10" s="1"/>
  <c r="AO17" i="10"/>
  <c r="V14" i="10"/>
  <c r="U73" i="10"/>
  <c r="K74" i="1"/>
  <c r="J74" i="1"/>
  <c r="I74" i="1"/>
  <c r="H61" i="1"/>
  <c r="H59" i="1" s="1"/>
  <c r="F61" i="1"/>
  <c r="Z61" i="1" s="1"/>
  <c r="E61" i="1"/>
  <c r="E59" i="1" s="1"/>
  <c r="AL29" i="1"/>
  <c r="AM29" i="1"/>
  <c r="AL29" i="10"/>
  <c r="AM29" i="10"/>
  <c r="U65" i="1"/>
  <c r="U73" i="1"/>
  <c r="AN66" i="10"/>
  <c r="AN63" i="10"/>
  <c r="AN62" i="10"/>
  <c r="AN61" i="10"/>
  <c r="AN60" i="10"/>
  <c r="AN58" i="10"/>
  <c r="AN54" i="10"/>
  <c r="AN53" i="10"/>
  <c r="AN52" i="10"/>
  <c r="AN51" i="10"/>
  <c r="AN48" i="10"/>
  <c r="AN47" i="10"/>
  <c r="AN45" i="10"/>
  <c r="AN44" i="10"/>
  <c r="AN43" i="10"/>
  <c r="AN34" i="10"/>
  <c r="AN32" i="10"/>
  <c r="AN31" i="10"/>
  <c r="AN30" i="10"/>
  <c r="AN29" i="10"/>
  <c r="AN28" i="10"/>
  <c r="AN27" i="10"/>
  <c r="AN26" i="10"/>
  <c r="AN25" i="10"/>
  <c r="AN23" i="10"/>
  <c r="AN22" i="10"/>
  <c r="AN20" i="10"/>
  <c r="AN19" i="10"/>
  <c r="AN18" i="10"/>
  <c r="AN16" i="10"/>
  <c r="AN15" i="10"/>
  <c r="AN13" i="10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7" i="1"/>
  <c r="AN26" i="1"/>
  <c r="AN25" i="1"/>
  <c r="AN23" i="1"/>
  <c r="AN22" i="1"/>
  <c r="AN20" i="1"/>
  <c r="AN19" i="1"/>
  <c r="AN18" i="1"/>
  <c r="AN16" i="1"/>
  <c r="AN15" i="1"/>
  <c r="AN13" i="1"/>
  <c r="U59" i="1"/>
  <c r="U50" i="1"/>
  <c r="AN50" i="1" s="1"/>
  <c r="U46" i="1"/>
  <c r="U40" i="1" s="1"/>
  <c r="U42" i="1"/>
  <c r="AN42" i="1" s="1"/>
  <c r="U24" i="1"/>
  <c r="AN24" i="1" s="1"/>
  <c r="U21" i="1"/>
  <c r="AN21" i="1" s="1"/>
  <c r="U17" i="1"/>
  <c r="U14" i="1"/>
  <c r="AN14" i="1"/>
  <c r="U65" i="10"/>
  <c r="U59" i="10"/>
  <c r="U56" i="10"/>
  <c r="U50" i="10"/>
  <c r="U40" i="10" s="1"/>
  <c r="U46" i="10"/>
  <c r="U42" i="10"/>
  <c r="U24" i="10"/>
  <c r="U21" i="10"/>
  <c r="U17" i="10"/>
  <c r="U14" i="10"/>
  <c r="T17" i="1"/>
  <c r="T12" i="1" s="1"/>
  <c r="AM66" i="1"/>
  <c r="AM63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AM66" i="10"/>
  <c r="AM63" i="10"/>
  <c r="AM62" i="10"/>
  <c r="AM61" i="10"/>
  <c r="AM60" i="10"/>
  <c r="AM58" i="10"/>
  <c r="AM54" i="10"/>
  <c r="AM53" i="10"/>
  <c r="AM52" i="10"/>
  <c r="AM51" i="10"/>
  <c r="AM48" i="10"/>
  <c r="AM47" i="10"/>
  <c r="AM45" i="10"/>
  <c r="AM44" i="10"/>
  <c r="AM43" i="10"/>
  <c r="AM34" i="10"/>
  <c r="AM32" i="10"/>
  <c r="AM31" i="10"/>
  <c r="AM30" i="10"/>
  <c r="AM28" i="10"/>
  <c r="AM27" i="10"/>
  <c r="AM26" i="10"/>
  <c r="AM25" i="10"/>
  <c r="AM23" i="10"/>
  <c r="AM22" i="10"/>
  <c r="AM20" i="10"/>
  <c r="AM19" i="10"/>
  <c r="AM18" i="10"/>
  <c r="AM16" i="10"/>
  <c r="AM15" i="10"/>
  <c r="AM13" i="10"/>
  <c r="T73" i="1"/>
  <c r="T65" i="1"/>
  <c r="T59" i="1"/>
  <c r="T56" i="1" s="1"/>
  <c r="T50" i="1"/>
  <c r="T40" i="1"/>
  <c r="T46" i="1"/>
  <c r="T42" i="1"/>
  <c r="T24" i="1"/>
  <c r="AM24" i="1" s="1"/>
  <c r="T21" i="1"/>
  <c r="AM21" i="1"/>
  <c r="T14" i="1"/>
  <c r="AM14" i="1" s="1"/>
  <c r="T73" i="10"/>
  <c r="T65" i="10"/>
  <c r="T59" i="10"/>
  <c r="T56" i="10"/>
  <c r="AN56" i="10" s="1"/>
  <c r="T50" i="10"/>
  <c r="T46" i="10"/>
  <c r="T42" i="10"/>
  <c r="T24" i="10"/>
  <c r="T21" i="10"/>
  <c r="T17" i="10"/>
  <c r="T14" i="10"/>
  <c r="T12" i="10" s="1"/>
  <c r="T11" i="10" s="1"/>
  <c r="T9" i="10" s="1"/>
  <c r="S73" i="10"/>
  <c r="S73" i="1"/>
  <c r="AK29" i="10"/>
  <c r="AJ29" i="10"/>
  <c r="AI29" i="10"/>
  <c r="AH29" i="10"/>
  <c r="AG29" i="10"/>
  <c r="AF29" i="10"/>
  <c r="AL28" i="10"/>
  <c r="AK28" i="10"/>
  <c r="AJ28" i="10"/>
  <c r="AI28" i="10"/>
  <c r="AH28" i="10"/>
  <c r="AG28" i="10"/>
  <c r="AF28" i="10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S65" i="1"/>
  <c r="S38" i="1" s="1"/>
  <c r="S59" i="1"/>
  <c r="S50" i="1"/>
  <c r="S46" i="1"/>
  <c r="AM46" i="1" s="1"/>
  <c r="S42" i="1"/>
  <c r="AM42" i="1" s="1"/>
  <c r="S24" i="1"/>
  <c r="S21" i="1"/>
  <c r="S17" i="1"/>
  <c r="S14" i="1"/>
  <c r="S12" i="1" s="1"/>
  <c r="AL66" i="10"/>
  <c r="AL63" i="10"/>
  <c r="AL62" i="10"/>
  <c r="AL61" i="10"/>
  <c r="AL60" i="10"/>
  <c r="AL58" i="10"/>
  <c r="AL54" i="10"/>
  <c r="AL53" i="10"/>
  <c r="AL52" i="10"/>
  <c r="AL51" i="10"/>
  <c r="AL48" i="10"/>
  <c r="AL47" i="10"/>
  <c r="AL45" i="10"/>
  <c r="AL44" i="10"/>
  <c r="AL43" i="10"/>
  <c r="AL34" i="10"/>
  <c r="AL32" i="10"/>
  <c r="AL31" i="10"/>
  <c r="AL30" i="10"/>
  <c r="AL27" i="10"/>
  <c r="AL26" i="10"/>
  <c r="AL25" i="10"/>
  <c r="AL23" i="10"/>
  <c r="AL22" i="10"/>
  <c r="AL20" i="10"/>
  <c r="AL19" i="10"/>
  <c r="AL18" i="10"/>
  <c r="AL16" i="10"/>
  <c r="AL15" i="10"/>
  <c r="AL13" i="10"/>
  <c r="S65" i="10"/>
  <c r="S59" i="10"/>
  <c r="S56" i="10"/>
  <c r="S50" i="10"/>
  <c r="AL50" i="10" s="1"/>
  <c r="S46" i="10"/>
  <c r="AM46" i="10" s="1"/>
  <c r="S42" i="10"/>
  <c r="S24" i="10"/>
  <c r="AM24" i="10" s="1"/>
  <c r="S21" i="10"/>
  <c r="AM21" i="10"/>
  <c r="S17" i="10"/>
  <c r="S14" i="10"/>
  <c r="R59" i="1"/>
  <c r="R56" i="1" s="1"/>
  <c r="R14" i="10"/>
  <c r="AK15" i="10"/>
  <c r="R24" i="1"/>
  <c r="AL24" i="1" s="1"/>
  <c r="AF66" i="1"/>
  <c r="AG66" i="1"/>
  <c r="AH66" i="1"/>
  <c r="AI66" i="1"/>
  <c r="AJ66" i="1"/>
  <c r="AK66" i="1"/>
  <c r="AE66" i="1"/>
  <c r="AF66" i="10"/>
  <c r="AG66" i="10"/>
  <c r="AH66" i="10"/>
  <c r="AI66" i="10"/>
  <c r="AJ66" i="10"/>
  <c r="AK66" i="10"/>
  <c r="AE66" i="10"/>
  <c r="AK22" i="10"/>
  <c r="AK63" i="1"/>
  <c r="AK62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4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AK63" i="10"/>
  <c r="AK62" i="10"/>
  <c r="AK61" i="10"/>
  <c r="AK60" i="10"/>
  <c r="AK58" i="10"/>
  <c r="AK54" i="10"/>
  <c r="AK53" i="10"/>
  <c r="AK52" i="10"/>
  <c r="AK51" i="10"/>
  <c r="AK48" i="10"/>
  <c r="AK47" i="10"/>
  <c r="AK45" i="10"/>
  <c r="AK44" i="10"/>
  <c r="AK43" i="10"/>
  <c r="AK34" i="10"/>
  <c r="AK32" i="10"/>
  <c r="AK31" i="10"/>
  <c r="AK30" i="10"/>
  <c r="AK27" i="10"/>
  <c r="AK26" i="10"/>
  <c r="AK25" i="10"/>
  <c r="AK23" i="10"/>
  <c r="AK20" i="10"/>
  <c r="AK19" i="10"/>
  <c r="AK18" i="10"/>
  <c r="AK13" i="10"/>
  <c r="R73" i="10"/>
  <c r="R65" i="10"/>
  <c r="R59" i="10"/>
  <c r="R50" i="10"/>
  <c r="R46" i="10"/>
  <c r="R42" i="10"/>
  <c r="R24" i="10"/>
  <c r="AL24" i="10"/>
  <c r="R17" i="10"/>
  <c r="R73" i="1"/>
  <c r="R65" i="1"/>
  <c r="R50" i="1"/>
  <c r="AL50" i="1"/>
  <c r="R46" i="1"/>
  <c r="AL46" i="1" s="1"/>
  <c r="AK46" i="1"/>
  <c r="R42" i="1"/>
  <c r="AK42" i="1" s="1"/>
  <c r="R21" i="1"/>
  <c r="R17" i="1"/>
  <c r="R14" i="1"/>
  <c r="R12" i="1" s="1"/>
  <c r="J74" i="10"/>
  <c r="J73" i="10" s="1"/>
  <c r="I74" i="10"/>
  <c r="I73" i="10" s="1"/>
  <c r="H61" i="10"/>
  <c r="F61" i="10"/>
  <c r="E61" i="10"/>
  <c r="X61" i="10" s="1"/>
  <c r="D61" i="10"/>
  <c r="W61" i="10" s="1"/>
  <c r="C61" i="10"/>
  <c r="C59" i="10"/>
  <c r="C56" i="10" s="1"/>
  <c r="Q17" i="1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AJ61" i="10"/>
  <c r="AI61" i="10"/>
  <c r="AH61" i="10"/>
  <c r="AG61" i="10"/>
  <c r="AF61" i="10"/>
  <c r="AE61" i="10"/>
  <c r="AD61" i="10"/>
  <c r="AC61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63" i="10"/>
  <c r="W62" i="10"/>
  <c r="W60" i="10"/>
  <c r="W58" i="10"/>
  <c r="W54" i="10"/>
  <c r="W53" i="10"/>
  <c r="W52" i="10"/>
  <c r="W51" i="10"/>
  <c r="W48" i="10"/>
  <c r="W47" i="10"/>
  <c r="W45" i="10"/>
  <c r="W44" i="10"/>
  <c r="W43" i="10"/>
  <c r="W34" i="10"/>
  <c r="W32" i="10"/>
  <c r="W31" i="10"/>
  <c r="W30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Q14" i="10"/>
  <c r="O73" i="10"/>
  <c r="O65" i="10"/>
  <c r="O59" i="10"/>
  <c r="O56" i="10" s="1"/>
  <c r="O50" i="10"/>
  <c r="O46" i="10"/>
  <c r="O42" i="10"/>
  <c r="O24" i="10"/>
  <c r="O21" i="10"/>
  <c r="O17" i="10"/>
  <c r="AI17" i="10" s="1"/>
  <c r="O14" i="10"/>
  <c r="AH14" i="10" s="1"/>
  <c r="N73" i="10"/>
  <c r="N65" i="10"/>
  <c r="AG65" i="10" s="1"/>
  <c r="N59" i="10"/>
  <c r="N50" i="10"/>
  <c r="AG50" i="10" s="1"/>
  <c r="N46" i="10"/>
  <c r="AH46" i="10" s="1"/>
  <c r="N42" i="10"/>
  <c r="N24" i="10"/>
  <c r="N21" i="10"/>
  <c r="N17" i="10"/>
  <c r="N14" i="10"/>
  <c r="M73" i="10"/>
  <c r="M65" i="10"/>
  <c r="AF65" i="10" s="1"/>
  <c r="M59" i="10"/>
  <c r="AG59" i="10" s="1"/>
  <c r="M50" i="10"/>
  <c r="M46" i="10"/>
  <c r="M40" i="10"/>
  <c r="M42" i="10"/>
  <c r="M24" i="10"/>
  <c r="M21" i="10"/>
  <c r="M17" i="10"/>
  <c r="M14" i="10"/>
  <c r="L73" i="10"/>
  <c r="L65" i="10"/>
  <c r="AE65" i="10" s="1"/>
  <c r="L59" i="10"/>
  <c r="L50" i="10"/>
  <c r="AE50" i="10" s="1"/>
  <c r="L46" i="10"/>
  <c r="L40" i="10"/>
  <c r="L42" i="10"/>
  <c r="AE42" i="10" s="1"/>
  <c r="L24" i="10"/>
  <c r="AE24" i="10" s="1"/>
  <c r="L21" i="10"/>
  <c r="AE21" i="10" s="1"/>
  <c r="L17" i="10"/>
  <c r="AE17" i="10" s="1"/>
  <c r="L14" i="10"/>
  <c r="AE14" i="10" s="1"/>
  <c r="J65" i="10"/>
  <c r="J59" i="10"/>
  <c r="AD59" i="10" s="1"/>
  <c r="J50" i="10"/>
  <c r="AD50" i="10" s="1"/>
  <c r="J46" i="10"/>
  <c r="AD46" i="10" s="1"/>
  <c r="J42" i="10"/>
  <c r="AD42" i="10" s="1"/>
  <c r="J24" i="10"/>
  <c r="J21" i="10"/>
  <c r="J17" i="10"/>
  <c r="AC17" i="10" s="1"/>
  <c r="AD17" i="10"/>
  <c r="J14" i="10"/>
  <c r="I65" i="10"/>
  <c r="I59" i="10"/>
  <c r="I56" i="10"/>
  <c r="I50" i="10"/>
  <c r="AB50" i="10" s="1"/>
  <c r="I46" i="10"/>
  <c r="I42" i="10"/>
  <c r="I24" i="10"/>
  <c r="I21" i="10"/>
  <c r="I17" i="10"/>
  <c r="I14" i="10"/>
  <c r="I12" i="10" s="1"/>
  <c r="I11" i="10" s="1"/>
  <c r="AC14" i="10"/>
  <c r="H73" i="10"/>
  <c r="H65" i="10"/>
  <c r="H50" i="10"/>
  <c r="H46" i="10"/>
  <c r="H42" i="10"/>
  <c r="AB42" i="10" s="1"/>
  <c r="H24" i="10"/>
  <c r="H21" i="10"/>
  <c r="H17" i="10"/>
  <c r="H14" i="10"/>
  <c r="G73" i="10"/>
  <c r="G65" i="10"/>
  <c r="G61" i="10"/>
  <c r="AA61" i="10" s="1"/>
  <c r="G50" i="10"/>
  <c r="G46" i="10"/>
  <c r="G42" i="10"/>
  <c r="G24" i="10"/>
  <c r="G21" i="10"/>
  <c r="G17" i="10"/>
  <c r="G14" i="10"/>
  <c r="F73" i="10"/>
  <c r="F59" i="10"/>
  <c r="F56" i="10" s="1"/>
  <c r="F50" i="10"/>
  <c r="F46" i="10"/>
  <c r="F42" i="10"/>
  <c r="Z42" i="10" s="1"/>
  <c r="F24" i="10"/>
  <c r="F21" i="10"/>
  <c r="F17" i="10"/>
  <c r="F14" i="10"/>
  <c r="E50" i="10"/>
  <c r="X50" i="10" s="1"/>
  <c r="E46" i="10"/>
  <c r="E40" i="10" s="1"/>
  <c r="E42" i="10"/>
  <c r="E24" i="10"/>
  <c r="X24" i="10" s="1"/>
  <c r="E21" i="10"/>
  <c r="X21" i="10" s="1"/>
  <c r="E17" i="10"/>
  <c r="X17" i="10" s="1"/>
  <c r="E14" i="10"/>
  <c r="D50" i="10"/>
  <c r="W50" i="10" s="1"/>
  <c r="D46" i="10"/>
  <c r="D42" i="10"/>
  <c r="D11" i="10"/>
  <c r="D9" i="10" s="1"/>
  <c r="C50" i="10"/>
  <c r="C46" i="10"/>
  <c r="W46" i="10" s="1"/>
  <c r="C42" i="10"/>
  <c r="C11" i="10"/>
  <c r="C9" i="10" s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AJ61" i="1"/>
  <c r="AI61" i="1"/>
  <c r="AH61" i="1"/>
  <c r="AG61" i="1"/>
  <c r="AF61" i="1"/>
  <c r="AE61" i="1"/>
  <c r="AD61" i="1"/>
  <c r="AC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63" i="1"/>
  <c r="W62" i="1"/>
  <c r="W61" i="1"/>
  <c r="W60" i="1"/>
  <c r="W58" i="1"/>
  <c r="W54" i="1"/>
  <c r="W53" i="1"/>
  <c r="W52" i="1"/>
  <c r="W51" i="1"/>
  <c r="W48" i="1"/>
  <c r="W47" i="1"/>
  <c r="W45" i="1"/>
  <c r="W44" i="1"/>
  <c r="W43" i="1"/>
  <c r="W34" i="1"/>
  <c r="W32" i="1"/>
  <c r="W31" i="1"/>
  <c r="W30" i="1"/>
  <c r="W27" i="1"/>
  <c r="W26" i="1"/>
  <c r="W25" i="1"/>
  <c r="W23" i="1"/>
  <c r="W22" i="1"/>
  <c r="W20" i="1"/>
  <c r="W19" i="1"/>
  <c r="W18" i="1"/>
  <c r="W17" i="1"/>
  <c r="W16" i="1"/>
  <c r="W15" i="1"/>
  <c r="W14" i="1"/>
  <c r="W13" i="1"/>
  <c r="O73" i="1"/>
  <c r="O65" i="1"/>
  <c r="O59" i="1"/>
  <c r="O56" i="1"/>
  <c r="O50" i="1"/>
  <c r="O40" i="1"/>
  <c r="O46" i="1"/>
  <c r="O42" i="1"/>
  <c r="AH42" i="1" s="1"/>
  <c r="O24" i="1"/>
  <c r="O12" i="1" s="1"/>
  <c r="AI24" i="1"/>
  <c r="O21" i="1"/>
  <c r="AH21" i="1" s="1"/>
  <c r="O17" i="1"/>
  <c r="O14" i="1"/>
  <c r="N73" i="1"/>
  <c r="N65" i="1"/>
  <c r="N59" i="1"/>
  <c r="N50" i="1"/>
  <c r="N46" i="1"/>
  <c r="AG46" i="1" s="1"/>
  <c r="N40" i="1"/>
  <c r="N42" i="1"/>
  <c r="AG42" i="1" s="1"/>
  <c r="N24" i="1"/>
  <c r="N21" i="1"/>
  <c r="N17" i="1"/>
  <c r="N14" i="1"/>
  <c r="N12" i="1"/>
  <c r="M73" i="1"/>
  <c r="M65" i="1"/>
  <c r="M59" i="1"/>
  <c r="M50" i="1"/>
  <c r="AG50" i="1" s="1"/>
  <c r="M46" i="1"/>
  <c r="AF46" i="1" s="1"/>
  <c r="M42" i="1"/>
  <c r="AF42" i="1" s="1"/>
  <c r="M24" i="1"/>
  <c r="M21" i="1"/>
  <c r="M17" i="1"/>
  <c r="AG17" i="1" s="1"/>
  <c r="M14" i="1"/>
  <c r="M12" i="1" s="1"/>
  <c r="L73" i="1"/>
  <c r="L65" i="1"/>
  <c r="L59" i="1"/>
  <c r="AE59" i="1" s="1"/>
  <c r="L56" i="1"/>
  <c r="AF56" i="1" s="1"/>
  <c r="L50" i="1"/>
  <c r="AE50" i="1" s="1"/>
  <c r="L46" i="1"/>
  <c r="L40" i="1" s="1"/>
  <c r="L42" i="1"/>
  <c r="L24" i="1"/>
  <c r="L21" i="1"/>
  <c r="AF21" i="1" s="1"/>
  <c r="L17" i="1"/>
  <c r="L12" i="1" s="1"/>
  <c r="K73" i="1"/>
  <c r="K65" i="1"/>
  <c r="K59" i="1"/>
  <c r="K56" i="1" s="1"/>
  <c r="K50" i="1"/>
  <c r="K40" i="1" s="1"/>
  <c r="K46" i="1"/>
  <c r="K42" i="1"/>
  <c r="K24" i="1"/>
  <c r="K21" i="1"/>
  <c r="K17" i="1"/>
  <c r="K14" i="1"/>
  <c r="K12" i="1" s="1"/>
  <c r="J73" i="1"/>
  <c r="J65" i="1"/>
  <c r="J59" i="1"/>
  <c r="AC59" i="1" s="1"/>
  <c r="J50" i="1"/>
  <c r="J46" i="1"/>
  <c r="J42" i="1"/>
  <c r="AD42" i="1" s="1"/>
  <c r="J24" i="1"/>
  <c r="J21" i="1"/>
  <c r="J17" i="1"/>
  <c r="J14" i="1"/>
  <c r="I73" i="1"/>
  <c r="I65" i="1"/>
  <c r="I59" i="1"/>
  <c r="AB59" i="1" s="1"/>
  <c r="I50" i="1"/>
  <c r="I46" i="1"/>
  <c r="I40" i="1" s="1"/>
  <c r="I42" i="1"/>
  <c r="I24" i="1"/>
  <c r="I21" i="1"/>
  <c r="AB21" i="1" s="1"/>
  <c r="I17" i="1"/>
  <c r="AC17" i="1" s="1"/>
  <c r="AB17" i="1"/>
  <c r="I14" i="1"/>
  <c r="AB14" i="1" s="1"/>
  <c r="H73" i="1"/>
  <c r="H65" i="1"/>
  <c r="H50" i="1"/>
  <c r="AA50" i="1" s="1"/>
  <c r="H46" i="1"/>
  <c r="H42" i="1"/>
  <c r="AA42" i="1"/>
  <c r="H24" i="1"/>
  <c r="AB24" i="1" s="1"/>
  <c r="H21" i="1"/>
  <c r="AA21" i="1" s="1"/>
  <c r="H17" i="1"/>
  <c r="AA17" i="1"/>
  <c r="H14" i="1"/>
  <c r="AA14" i="1"/>
  <c r="F73" i="1"/>
  <c r="F50" i="1"/>
  <c r="Z50" i="1" s="1"/>
  <c r="F46" i="1"/>
  <c r="Z46" i="1" s="1"/>
  <c r="F42" i="1"/>
  <c r="Y42" i="1" s="1"/>
  <c r="Z42" i="1"/>
  <c r="F24" i="1"/>
  <c r="Y24" i="1" s="1"/>
  <c r="F21" i="1"/>
  <c r="Z21" i="1" s="1"/>
  <c r="F17" i="1"/>
  <c r="Z17" i="1" s="1"/>
  <c r="F14" i="1"/>
  <c r="E50" i="1"/>
  <c r="Y50" i="1" s="1"/>
  <c r="E40" i="1"/>
  <c r="X40" i="1" s="1"/>
  <c r="E46" i="1"/>
  <c r="E42" i="1"/>
  <c r="X42" i="1" s="1"/>
  <c r="E24" i="1"/>
  <c r="X24" i="1" s="1"/>
  <c r="E21" i="1"/>
  <c r="E17" i="1"/>
  <c r="E14" i="1"/>
  <c r="X14" i="1"/>
  <c r="D59" i="1"/>
  <c r="D56" i="1" s="1"/>
  <c r="W59" i="1"/>
  <c r="D50" i="1"/>
  <c r="W50" i="1" s="1"/>
  <c r="D46" i="1"/>
  <c r="X46" i="1"/>
  <c r="D42" i="1"/>
  <c r="W42" i="1"/>
  <c r="D24" i="1"/>
  <c r="W24" i="1" s="1"/>
  <c r="D21" i="1"/>
  <c r="X21" i="1" s="1"/>
  <c r="W21" i="1"/>
  <c r="P14" i="10"/>
  <c r="P12" i="10" s="1"/>
  <c r="P65" i="1"/>
  <c r="AJ65" i="1" s="1"/>
  <c r="P73" i="10"/>
  <c r="P65" i="10"/>
  <c r="P59" i="10"/>
  <c r="P50" i="10"/>
  <c r="P40" i="10" s="1"/>
  <c r="P38" i="10" s="1"/>
  <c r="P46" i="10"/>
  <c r="AI46" i="10" s="1"/>
  <c r="P42" i="10"/>
  <c r="AI42" i="10" s="1"/>
  <c r="P24" i="10"/>
  <c r="P21" i="10"/>
  <c r="P17" i="10"/>
  <c r="P73" i="1"/>
  <c r="P59" i="1"/>
  <c r="P56" i="1" s="1"/>
  <c r="AI56" i="1" s="1"/>
  <c r="P50" i="1"/>
  <c r="P40" i="1" s="1"/>
  <c r="AI50" i="1"/>
  <c r="P46" i="1"/>
  <c r="AI46" i="1" s="1"/>
  <c r="P42" i="1"/>
  <c r="P24" i="1"/>
  <c r="P21" i="1"/>
  <c r="AI21" i="1" s="1"/>
  <c r="P17" i="1"/>
  <c r="AJ17" i="1" s="1"/>
  <c r="P14" i="1"/>
  <c r="Q73" i="10"/>
  <c r="Q65" i="10"/>
  <c r="AJ65" i="10" s="1"/>
  <c r="Q59" i="10"/>
  <c r="AJ59" i="10" s="1"/>
  <c r="Q50" i="10"/>
  <c r="AJ50" i="10" s="1"/>
  <c r="Q46" i="10"/>
  <c r="AJ46" i="10" s="1"/>
  <c r="Q42" i="10"/>
  <c r="Q24" i="10"/>
  <c r="Q21" i="10"/>
  <c r="Q17" i="10"/>
  <c r="AK17" i="10" s="1"/>
  <c r="Q73" i="1"/>
  <c r="Q65" i="1"/>
  <c r="AK65" i="1" s="1"/>
  <c r="Q59" i="1"/>
  <c r="AK59" i="1" s="1"/>
  <c r="Q50" i="1"/>
  <c r="AJ50" i="1" s="1"/>
  <c r="Q46" i="1"/>
  <c r="AJ46" i="1" s="1"/>
  <c r="Q42" i="1"/>
  <c r="AJ42" i="1"/>
  <c r="Q24" i="1"/>
  <c r="Q12" i="1" s="1"/>
  <c r="Q21" i="1"/>
  <c r="AK21" i="1" s="1"/>
  <c r="Q14" i="1"/>
  <c r="AB17" i="10"/>
  <c r="AB50" i="1"/>
  <c r="AF17" i="1"/>
  <c r="AH50" i="1"/>
  <c r="X61" i="1"/>
  <c r="AE59" i="10"/>
  <c r="X14" i="10"/>
  <c r="R21" i="10"/>
  <c r="AK21" i="10" s="1"/>
  <c r="R56" i="10"/>
  <c r="AK16" i="10"/>
  <c r="AD21" i="10"/>
  <c r="AC42" i="10"/>
  <c r="S56" i="1"/>
  <c r="AL59" i="10"/>
  <c r="AC46" i="10"/>
  <c r="AD17" i="1"/>
  <c r="AI59" i="1"/>
  <c r="AC42" i="1"/>
  <c r="AC50" i="1"/>
  <c r="AL14" i="1"/>
  <c r="I56" i="1"/>
  <c r="Z14" i="1"/>
  <c r="H40" i="1"/>
  <c r="AA40" i="1"/>
  <c r="AH65" i="1"/>
  <c r="AE46" i="1"/>
  <c r="AL59" i="1"/>
  <c r="AC24" i="1"/>
  <c r="AC24" i="10"/>
  <c r="AJ42" i="10"/>
  <c r="AB21" i="10"/>
  <c r="AA17" i="10"/>
  <c r="AH42" i="10"/>
  <c r="Z21" i="10"/>
  <c r="Y14" i="10"/>
  <c r="Z24" i="10"/>
  <c r="AF24" i="10"/>
  <c r="AH65" i="10"/>
  <c r="AI50" i="10"/>
  <c r="W42" i="10"/>
  <c r="Y21" i="10"/>
  <c r="AC59" i="10"/>
  <c r="Z17" i="10"/>
  <c r="AA21" i="10"/>
  <c r="Z14" i="10"/>
  <c r="AC21" i="10"/>
  <c r="AD24" i="10"/>
  <c r="AB46" i="10"/>
  <c r="AG17" i="10"/>
  <c r="M12" i="10"/>
  <c r="AK24" i="10"/>
  <c r="C40" i="10"/>
  <c r="AA14" i="10"/>
  <c r="D59" i="10"/>
  <c r="W59" i="10"/>
  <c r="L56" i="10"/>
  <c r="AE56" i="10" s="1"/>
  <c r="AG65" i="1"/>
  <c r="AK17" i="1"/>
  <c r="AD46" i="1"/>
  <c r="AE65" i="1"/>
  <c r="AF50" i="1"/>
  <c r="AL21" i="1"/>
  <c r="AA24" i="10"/>
  <c r="AK14" i="10"/>
  <c r="Y21" i="1"/>
  <c r="AF24" i="1"/>
  <c r="AG24" i="1"/>
  <c r="Y46" i="10"/>
  <c r="Z46" i="10"/>
  <c r="H40" i="10"/>
  <c r="AA40" i="10" s="1"/>
  <c r="AI42" i="1"/>
  <c r="AF65" i="1"/>
  <c r="AJ21" i="10"/>
  <c r="N56" i="1"/>
  <c r="AH56" i="1" s="1"/>
  <c r="AH59" i="1"/>
  <c r="H59" i="10"/>
  <c r="AB59" i="10" s="1"/>
  <c r="AB61" i="10"/>
  <c r="AJ14" i="1"/>
  <c r="AG14" i="10"/>
  <c r="AG59" i="1"/>
  <c r="AE24" i="1"/>
  <c r="AD24" i="1"/>
  <c r="M56" i="1"/>
  <c r="AG56" i="1"/>
  <c r="X46" i="10"/>
  <c r="AL17" i="1"/>
  <c r="G12" i="10"/>
  <c r="G11" i="10" s="1"/>
  <c r="Z11" i="10" s="1"/>
  <c r="H12" i="10"/>
  <c r="AF21" i="10"/>
  <c r="W46" i="1"/>
  <c r="AC46" i="1"/>
  <c r="J40" i="1"/>
  <c r="AI14" i="1"/>
  <c r="O40" i="10"/>
  <c r="AL65" i="10"/>
  <c r="S40" i="1"/>
  <c r="F12" i="10"/>
  <c r="F11" i="10" s="1"/>
  <c r="F9" i="10" s="1"/>
  <c r="Y17" i="10"/>
  <c r="AH59" i="10"/>
  <c r="Q56" i="1"/>
  <c r="AJ56" i="1" s="1"/>
  <c r="AJ59" i="1"/>
  <c r="F59" i="1"/>
  <c r="F56" i="1" s="1"/>
  <c r="AB24" i="10"/>
  <c r="AL14" i="10"/>
  <c r="D56" i="10"/>
  <c r="H56" i="10"/>
  <c r="H38" i="10" s="1"/>
  <c r="AM59" i="10"/>
  <c r="T40" i="10"/>
  <c r="AM40" i="1"/>
  <c r="AM50" i="1"/>
  <c r="D40" i="1"/>
  <c r="AD21" i="1"/>
  <c r="AH46" i="1"/>
  <c r="AC21" i="1"/>
  <c r="AG21" i="1"/>
  <c r="AE17" i="1"/>
  <c r="AE21" i="1"/>
  <c r="AB42" i="1"/>
  <c r="AL56" i="10"/>
  <c r="AF50" i="10"/>
  <c r="N56" i="10"/>
  <c r="AL42" i="10"/>
  <c r="AM14" i="10"/>
  <c r="AL17" i="10"/>
  <c r="AH50" i="10"/>
  <c r="AA50" i="10"/>
  <c r="AG46" i="10"/>
  <c r="N40" i="10"/>
  <c r="N38" i="10" s="1"/>
  <c r="G40" i="10"/>
  <c r="AE46" i="10"/>
  <c r="P56" i="10"/>
  <c r="AI56" i="10" s="1"/>
  <c r="AK65" i="10"/>
  <c r="AF46" i="10"/>
  <c r="AF59" i="10"/>
  <c r="AI65" i="10"/>
  <c r="AN65" i="10"/>
  <c r="AN14" i="10"/>
  <c r="U56" i="1"/>
  <c r="AN56" i="1" s="1"/>
  <c r="N11" i="1"/>
  <c r="O36" i="1"/>
  <c r="O38" i="1"/>
  <c r="N38" i="1"/>
  <c r="AH38" i="1" s="1"/>
  <c r="J12" i="1"/>
  <c r="J11" i="1" s="1"/>
  <c r="F12" i="1"/>
  <c r="F11" i="1" s="1"/>
  <c r="AD14" i="1"/>
  <c r="AE14" i="1"/>
  <c r="AE42" i="1"/>
  <c r="AA46" i="1"/>
  <c r="X17" i="1"/>
  <c r="AK14" i="1"/>
  <c r="AK50" i="1"/>
  <c r="AN59" i="1"/>
  <c r="AG14" i="1"/>
  <c r="E12" i="1"/>
  <c r="AL42" i="1"/>
  <c r="W40" i="1"/>
  <c r="AF14" i="1"/>
  <c r="AH17" i="1"/>
  <c r="AH14" i="1"/>
  <c r="Y14" i="1"/>
  <c r="AN59" i="10"/>
  <c r="U12" i="10"/>
  <c r="AN12" i="10" s="1"/>
  <c r="N9" i="1"/>
  <c r="N69" i="1" s="1"/>
  <c r="AN46" i="10"/>
  <c r="U12" i="1"/>
  <c r="G10" i="11" l="1"/>
  <c r="E9" i="11"/>
  <c r="G9" i="11" s="1"/>
  <c r="N10" i="11"/>
  <c r="L9" i="11"/>
  <c r="N9" i="11" s="1"/>
  <c r="AO65" i="1"/>
  <c r="AN65" i="1"/>
  <c r="AI65" i="1"/>
  <c r="V56" i="1"/>
  <c r="AO56" i="1" s="1"/>
  <c r="AO59" i="1"/>
  <c r="V40" i="1"/>
  <c r="AO40" i="1" s="1"/>
  <c r="AO50" i="1"/>
  <c r="AN40" i="10"/>
  <c r="U38" i="10"/>
  <c r="U69" i="10" s="1"/>
  <c r="AB14" i="10"/>
  <c r="AC50" i="10"/>
  <c r="Y50" i="10"/>
  <c r="AI21" i="10"/>
  <c r="Q12" i="10"/>
  <c r="Q11" i="10" s="1"/>
  <c r="Q9" i="10" s="1"/>
  <c r="AF14" i="10"/>
  <c r="AH24" i="10"/>
  <c r="AM65" i="10"/>
  <c r="AJ17" i="10"/>
  <c r="D40" i="10"/>
  <c r="X40" i="10" s="1"/>
  <c r="AH40" i="10"/>
  <c r="O12" i="10"/>
  <c r="O11" i="10" s="1"/>
  <c r="O9" i="10" s="1"/>
  <c r="AK59" i="10"/>
  <c r="J40" i="10"/>
  <c r="AJ24" i="10"/>
  <c r="AG21" i="10"/>
  <c r="S12" i="10"/>
  <c r="AL12" i="10" s="1"/>
  <c r="AO14" i="10"/>
  <c r="AH17" i="10"/>
  <c r="AF17" i="10"/>
  <c r="AA42" i="10"/>
  <c r="Y42" i="10"/>
  <c r="AG24" i="10"/>
  <c r="N36" i="10"/>
  <c r="U11" i="10"/>
  <c r="U9" i="10" s="1"/>
  <c r="Q40" i="10"/>
  <c r="Q56" i="10"/>
  <c r="AF42" i="10"/>
  <c r="AM17" i="10"/>
  <c r="AN17" i="10"/>
  <c r="AK42" i="10"/>
  <c r="AO24" i="10"/>
  <c r="AI59" i="10"/>
  <c r="L12" i="10"/>
  <c r="AE12" i="10" s="1"/>
  <c r="I40" i="10"/>
  <c r="I38" i="10" s="1"/>
  <c r="I36" i="10" s="1"/>
  <c r="AA46" i="10"/>
  <c r="J56" i="10"/>
  <c r="J38" i="10" s="1"/>
  <c r="R40" i="10"/>
  <c r="AN21" i="10"/>
  <c r="L38" i="10"/>
  <c r="AE38" i="10" s="1"/>
  <c r="G59" i="10"/>
  <c r="Z59" i="10" s="1"/>
  <c r="Z12" i="10"/>
  <c r="C36" i="10"/>
  <c r="C38" i="10" s="1"/>
  <c r="C69" i="10" s="1"/>
  <c r="AM42" i="10"/>
  <c r="AN24" i="10"/>
  <c r="AO42" i="10"/>
  <c r="S40" i="10"/>
  <c r="AG40" i="10"/>
  <c r="E59" i="10"/>
  <c r="X59" i="10" s="1"/>
  <c r="AA12" i="10"/>
  <c r="AK56" i="10"/>
  <c r="Z50" i="10"/>
  <c r="J12" i="10"/>
  <c r="AC12" i="10" s="1"/>
  <c r="AM50" i="10"/>
  <c r="V40" i="10"/>
  <c r="AO40" i="10" s="1"/>
  <c r="AO59" i="10"/>
  <c r="V12" i="1"/>
  <c r="K11" i="1"/>
  <c r="AD12" i="1"/>
  <c r="AM12" i="1"/>
  <c r="T11" i="1"/>
  <c r="K38" i="1"/>
  <c r="AD40" i="1"/>
  <c r="X59" i="1"/>
  <c r="E56" i="1"/>
  <c r="Y56" i="1" s="1"/>
  <c r="Y59" i="1"/>
  <c r="AE56" i="1"/>
  <c r="AL12" i="1"/>
  <c r="S11" i="1"/>
  <c r="U36" i="1"/>
  <c r="AN36" i="1" s="1"/>
  <c r="U38" i="1"/>
  <c r="AN40" i="1"/>
  <c r="Q11" i="1"/>
  <c r="AJ12" i="1"/>
  <c r="P38" i="1"/>
  <c r="AI38" i="1" s="1"/>
  <c r="AI40" i="1"/>
  <c r="P36" i="1"/>
  <c r="AI36" i="1" s="1"/>
  <c r="D36" i="1"/>
  <c r="W56" i="1"/>
  <c r="AG12" i="1"/>
  <c r="AF12" i="1"/>
  <c r="M11" i="1"/>
  <c r="H56" i="1"/>
  <c r="AA59" i="1"/>
  <c r="AB40" i="1"/>
  <c r="AC40" i="1"/>
  <c r="I38" i="1"/>
  <c r="T38" i="1"/>
  <c r="AM38" i="1" s="1"/>
  <c r="AM56" i="1"/>
  <c r="T36" i="1"/>
  <c r="Z11" i="1"/>
  <c r="Y11" i="1"/>
  <c r="F9" i="1"/>
  <c r="L11" i="1"/>
  <c r="AE12" i="1"/>
  <c r="AH12" i="1"/>
  <c r="O11" i="1"/>
  <c r="N70" i="1"/>
  <c r="AE40" i="1"/>
  <c r="L36" i="1"/>
  <c r="L38" i="1"/>
  <c r="Z56" i="1"/>
  <c r="AK12" i="1"/>
  <c r="R11" i="1"/>
  <c r="AN12" i="1"/>
  <c r="J9" i="1"/>
  <c r="AL56" i="1"/>
  <c r="AK56" i="1"/>
  <c r="U11" i="1"/>
  <c r="E11" i="1"/>
  <c r="S36" i="1"/>
  <c r="Z59" i="1"/>
  <c r="Y61" i="1"/>
  <c r="P12" i="1"/>
  <c r="AA61" i="1"/>
  <c r="AJ24" i="1"/>
  <c r="AI17" i="1"/>
  <c r="I12" i="1"/>
  <c r="AC12" i="1" s="1"/>
  <c r="J56" i="1"/>
  <c r="AC56" i="1" s="1"/>
  <c r="AD50" i="1"/>
  <c r="AM65" i="1"/>
  <c r="AN46" i="1"/>
  <c r="AH24" i="1"/>
  <c r="D12" i="1"/>
  <c r="X50" i="1"/>
  <c r="AB46" i="1"/>
  <c r="AD59" i="1"/>
  <c r="AC14" i="1"/>
  <c r="AF59" i="1"/>
  <c r="AJ21" i="1"/>
  <c r="AK24" i="1"/>
  <c r="AB61" i="1"/>
  <c r="Q40" i="1"/>
  <c r="Y17" i="1"/>
  <c r="AL65" i="1"/>
  <c r="R40" i="1"/>
  <c r="M40" i="1"/>
  <c r="Y12" i="1"/>
  <c r="AA24" i="1"/>
  <c r="F40" i="1"/>
  <c r="H12" i="1"/>
  <c r="Z12" i="1"/>
  <c r="AN17" i="1"/>
  <c r="AM17" i="1"/>
  <c r="Y46" i="1"/>
  <c r="AM59" i="1"/>
  <c r="N36" i="1"/>
  <c r="AH40" i="1"/>
  <c r="Z24" i="1"/>
  <c r="V12" i="10"/>
  <c r="AH56" i="10"/>
  <c r="O36" i="10"/>
  <c r="AH36" i="10" s="1"/>
  <c r="AB11" i="10"/>
  <c r="I9" i="10"/>
  <c r="J36" i="10"/>
  <c r="AD38" i="10"/>
  <c r="S11" i="10"/>
  <c r="W9" i="10"/>
  <c r="AN9" i="10"/>
  <c r="U71" i="10"/>
  <c r="H36" i="10"/>
  <c r="R36" i="10"/>
  <c r="R38" i="10"/>
  <c r="AK40" i="10"/>
  <c r="AD12" i="10"/>
  <c r="AI12" i="10"/>
  <c r="P11" i="10"/>
  <c r="AJ12" i="10"/>
  <c r="W56" i="10"/>
  <c r="O71" i="10"/>
  <c r="AK46" i="10"/>
  <c r="AI40" i="10"/>
  <c r="AJ14" i="10"/>
  <c r="M11" i="10"/>
  <c r="W11" i="10"/>
  <c r="AI24" i="10"/>
  <c r="Z61" i="10"/>
  <c r="AD14" i="10"/>
  <c r="AD56" i="10"/>
  <c r="R12" i="10"/>
  <c r="O38" i="10"/>
  <c r="AH38" i="10" s="1"/>
  <c r="Y61" i="10"/>
  <c r="X42" i="10"/>
  <c r="P36" i="10"/>
  <c r="AI36" i="10" s="1"/>
  <c r="AJ40" i="10"/>
  <c r="AL21" i="10"/>
  <c r="L36" i="10"/>
  <c r="AE36" i="10" s="1"/>
  <c r="AN11" i="10"/>
  <c r="AB12" i="10"/>
  <c r="AM56" i="10"/>
  <c r="AE40" i="10"/>
  <c r="AG42" i="10"/>
  <c r="Y24" i="10"/>
  <c r="U36" i="10"/>
  <c r="N12" i="10"/>
  <c r="AL46" i="10"/>
  <c r="M56" i="10"/>
  <c r="AF56" i="10" s="1"/>
  <c r="AJ56" i="10"/>
  <c r="AC56" i="10"/>
  <c r="AN42" i="10"/>
  <c r="AB56" i="10"/>
  <c r="H11" i="10"/>
  <c r="AH21" i="10"/>
  <c r="T69" i="10"/>
  <c r="Q38" i="10"/>
  <c r="AI14" i="10"/>
  <c r="AK50" i="10"/>
  <c r="T36" i="10"/>
  <c r="M38" i="10"/>
  <c r="AF38" i="10" s="1"/>
  <c r="E12" i="10"/>
  <c r="AN50" i="10"/>
  <c r="AF40" i="10"/>
  <c r="G9" i="10"/>
  <c r="T38" i="10"/>
  <c r="F40" i="10"/>
  <c r="V36" i="1" l="1"/>
  <c r="AO36" i="1" s="1"/>
  <c r="V38" i="1"/>
  <c r="AO38" i="1" s="1"/>
  <c r="AC38" i="10"/>
  <c r="AM36" i="10"/>
  <c r="L11" i="10"/>
  <c r="AM40" i="10"/>
  <c r="S38" i="10"/>
  <c r="S36" i="10"/>
  <c r="AF12" i="10"/>
  <c r="AB38" i="10"/>
  <c r="AB40" i="10"/>
  <c r="C71" i="10"/>
  <c r="W40" i="10"/>
  <c r="J11" i="10"/>
  <c r="E56" i="10"/>
  <c r="Y56" i="10" s="1"/>
  <c r="D36" i="10"/>
  <c r="Y59" i="10"/>
  <c r="AM12" i="10"/>
  <c r="Q36" i="10"/>
  <c r="Q71" i="10" s="1"/>
  <c r="AD40" i="10"/>
  <c r="AC40" i="10"/>
  <c r="AK36" i="10"/>
  <c r="M36" i="10"/>
  <c r="AF36" i="10" s="1"/>
  <c r="V36" i="10"/>
  <c r="AO36" i="10" s="1"/>
  <c r="G56" i="10"/>
  <c r="G38" i="10" s="1"/>
  <c r="G69" i="10" s="1"/>
  <c r="AA59" i="10"/>
  <c r="AL40" i="10"/>
  <c r="V38" i="10"/>
  <c r="AO38" i="10" s="1"/>
  <c r="V11" i="10"/>
  <c r="AO12" i="10"/>
  <c r="V11" i="1"/>
  <c r="AO12" i="1"/>
  <c r="AF40" i="1"/>
  <c r="M38" i="1"/>
  <c r="M36" i="1"/>
  <c r="AF36" i="1" s="1"/>
  <c r="AE11" i="1"/>
  <c r="L9" i="1"/>
  <c r="K36" i="1"/>
  <c r="AD38" i="1"/>
  <c r="AA12" i="1"/>
  <c r="H11" i="1"/>
  <c r="AN38" i="1"/>
  <c r="T9" i="1"/>
  <c r="AM11" i="1"/>
  <c r="P11" i="1"/>
  <c r="F36" i="1"/>
  <c r="Y40" i="1"/>
  <c r="Z40" i="1"/>
  <c r="AH11" i="1"/>
  <c r="O9" i="1"/>
  <c r="AG36" i="1"/>
  <c r="R36" i="1"/>
  <c r="AK36" i="1" s="1"/>
  <c r="R38" i="1"/>
  <c r="AK40" i="1"/>
  <c r="AL40" i="1"/>
  <c r="H38" i="1"/>
  <c r="AB56" i="1"/>
  <c r="AA56" i="1"/>
  <c r="AL11" i="1"/>
  <c r="S9" i="1"/>
  <c r="AG40" i="1"/>
  <c r="I11" i="1"/>
  <c r="AB12" i="1"/>
  <c r="AJ11" i="1"/>
  <c r="Q9" i="1"/>
  <c r="D11" i="1"/>
  <c r="W12" i="1"/>
  <c r="Q38" i="1"/>
  <c r="AJ38" i="1" s="1"/>
  <c r="AJ40" i="1"/>
  <c r="Q36" i="1"/>
  <c r="AJ36" i="1" s="1"/>
  <c r="AE38" i="1"/>
  <c r="AH36" i="1"/>
  <c r="I36" i="1"/>
  <c r="AB38" i="1"/>
  <c r="E36" i="1"/>
  <c r="X56" i="1"/>
  <c r="R9" i="1"/>
  <c r="AK11" i="1"/>
  <c r="N71" i="1"/>
  <c r="AF11" i="1"/>
  <c r="AG11" i="1"/>
  <c r="M9" i="1"/>
  <c r="X11" i="1"/>
  <c r="E9" i="1"/>
  <c r="Y9" i="1" s="1"/>
  <c r="AM36" i="1"/>
  <c r="AD56" i="1"/>
  <c r="K9" i="1"/>
  <c r="AD11" i="1"/>
  <c r="J38" i="1"/>
  <c r="Z9" i="1"/>
  <c r="U9" i="1"/>
  <c r="AN11" i="1"/>
  <c r="D38" i="1"/>
  <c r="W38" i="1" s="1"/>
  <c r="W36" i="1"/>
  <c r="X12" i="1"/>
  <c r="AD36" i="10"/>
  <c r="AC36" i="10"/>
  <c r="AG38" i="10"/>
  <c r="P9" i="10"/>
  <c r="AJ11" i="10"/>
  <c r="AI11" i="10"/>
  <c r="AD11" i="10"/>
  <c r="AC11" i="10"/>
  <c r="J9" i="10"/>
  <c r="AN36" i="10"/>
  <c r="T71" i="10"/>
  <c r="AN71" i="10" s="1"/>
  <c r="M9" i="10"/>
  <c r="AF11" i="10"/>
  <c r="O69" i="10"/>
  <c r="AL36" i="10"/>
  <c r="AG12" i="10"/>
  <c r="N11" i="10"/>
  <c r="AN69" i="10"/>
  <c r="U70" i="10"/>
  <c r="L9" i="10"/>
  <c r="AE11" i="10"/>
  <c r="O72" i="10"/>
  <c r="R11" i="10"/>
  <c r="AK12" i="10"/>
  <c r="AI38" i="10"/>
  <c r="AB36" i="10"/>
  <c r="I69" i="10"/>
  <c r="I71" i="10"/>
  <c r="AH12" i="10"/>
  <c r="T70" i="10"/>
  <c r="Y40" i="10"/>
  <c r="Z40" i="10"/>
  <c r="F36" i="10"/>
  <c r="AN38" i="10"/>
  <c r="AM38" i="10"/>
  <c r="Z9" i="10"/>
  <c r="Q72" i="10"/>
  <c r="X12" i="10"/>
  <c r="E11" i="10"/>
  <c r="Y12" i="10"/>
  <c r="U72" i="10"/>
  <c r="Q69" i="10"/>
  <c r="AJ38" i="10"/>
  <c r="AA11" i="10"/>
  <c r="H9" i="10"/>
  <c r="E36" i="10"/>
  <c r="AJ36" i="10"/>
  <c r="AK38" i="10"/>
  <c r="AL38" i="10"/>
  <c r="AL11" i="10"/>
  <c r="S9" i="10"/>
  <c r="AM11" i="10"/>
  <c r="AG56" i="10"/>
  <c r="W36" i="10" l="1"/>
  <c r="D71" i="10"/>
  <c r="W71" i="10" s="1"/>
  <c r="AG36" i="10"/>
  <c r="D38" i="10"/>
  <c r="AA56" i="10"/>
  <c r="Z56" i="10"/>
  <c r="X56" i="10"/>
  <c r="V9" i="10"/>
  <c r="AO11" i="10"/>
  <c r="V9" i="1"/>
  <c r="AO11" i="1"/>
  <c r="H9" i="1"/>
  <c r="AA11" i="1"/>
  <c r="AB11" i="1"/>
  <c r="I9" i="1"/>
  <c r="AC11" i="1"/>
  <c r="U71" i="1"/>
  <c r="AN9" i="1"/>
  <c r="U69" i="1"/>
  <c r="AL36" i="1"/>
  <c r="AB36" i="1"/>
  <c r="S71" i="1"/>
  <c r="AL9" i="1"/>
  <c r="S69" i="1"/>
  <c r="AF9" i="1"/>
  <c r="M69" i="1"/>
  <c r="M71" i="1"/>
  <c r="AG71" i="1" s="1"/>
  <c r="AG9" i="1"/>
  <c r="AF38" i="1"/>
  <c r="AG38" i="1"/>
  <c r="J36" i="1"/>
  <c r="AC38" i="1"/>
  <c r="J69" i="1"/>
  <c r="X36" i="1"/>
  <c r="E38" i="1"/>
  <c r="X38" i="1" s="1"/>
  <c r="AE36" i="1"/>
  <c r="E69" i="1"/>
  <c r="E71" i="1"/>
  <c r="L71" i="1"/>
  <c r="AE9" i="1"/>
  <c r="L69" i="1"/>
  <c r="F38" i="1"/>
  <c r="Y36" i="1"/>
  <c r="Z36" i="1"/>
  <c r="F71" i="1"/>
  <c r="H36" i="1"/>
  <c r="AA36" i="1" s="1"/>
  <c r="AA38" i="1"/>
  <c r="AI11" i="1"/>
  <c r="P9" i="1"/>
  <c r="AK9" i="1"/>
  <c r="R71" i="1"/>
  <c r="R69" i="1"/>
  <c r="W11" i="1"/>
  <c r="D9" i="1"/>
  <c r="X9" i="1" s="1"/>
  <c r="T69" i="1"/>
  <c r="AM9" i="1"/>
  <c r="T71" i="1"/>
  <c r="AH9" i="1"/>
  <c r="O69" i="1"/>
  <c r="O71" i="1"/>
  <c r="N72" i="1"/>
  <c r="K69" i="1"/>
  <c r="K71" i="1"/>
  <c r="AD9" i="1"/>
  <c r="Q71" i="1"/>
  <c r="Q69" i="1"/>
  <c r="AJ9" i="1"/>
  <c r="AK38" i="1"/>
  <c r="AL38" i="1"/>
  <c r="X36" i="10"/>
  <c r="E38" i="10"/>
  <c r="X38" i="10" s="1"/>
  <c r="J71" i="10"/>
  <c r="AD9" i="10"/>
  <c r="AC9" i="10"/>
  <c r="J69" i="10"/>
  <c r="W38" i="10"/>
  <c r="D69" i="10"/>
  <c r="W69" i="10" s="1"/>
  <c r="AG11" i="10"/>
  <c r="N9" i="10"/>
  <c r="AH11" i="10"/>
  <c r="AL9" i="10"/>
  <c r="S69" i="10"/>
  <c r="S71" i="10"/>
  <c r="AM71" i="10" s="1"/>
  <c r="AM9" i="10"/>
  <c r="O70" i="10"/>
  <c r="T72" i="10"/>
  <c r="H69" i="10"/>
  <c r="H71" i="10"/>
  <c r="AA9" i="10"/>
  <c r="AB69" i="10"/>
  <c r="I70" i="10"/>
  <c r="G70" i="10"/>
  <c r="P71" i="10"/>
  <c r="AI9" i="10"/>
  <c r="P69" i="10"/>
  <c r="AJ9" i="10"/>
  <c r="F38" i="10"/>
  <c r="Y36" i="10"/>
  <c r="F71" i="10"/>
  <c r="L71" i="10"/>
  <c r="L69" i="10"/>
  <c r="AE9" i="10"/>
  <c r="I72" i="10"/>
  <c r="Q70" i="10"/>
  <c r="AB9" i="10"/>
  <c r="Y11" i="10"/>
  <c r="X11" i="10"/>
  <c r="E9" i="10"/>
  <c r="AK11" i="10"/>
  <c r="R9" i="10"/>
  <c r="M71" i="10"/>
  <c r="M69" i="10"/>
  <c r="AF9" i="10"/>
  <c r="G36" i="10"/>
  <c r="AA38" i="10"/>
  <c r="AO9" i="10" l="1"/>
  <c r="V71" i="10"/>
  <c r="V69" i="10"/>
  <c r="AO9" i="1"/>
  <c r="V71" i="1"/>
  <c r="V69" i="1"/>
  <c r="AN69" i="1"/>
  <c r="U70" i="1"/>
  <c r="J70" i="1"/>
  <c r="Q70" i="1"/>
  <c r="Z38" i="1"/>
  <c r="Y38" i="1"/>
  <c r="F69" i="1"/>
  <c r="Y71" i="1"/>
  <c r="F72" i="1"/>
  <c r="Z71" i="1"/>
  <c r="AC36" i="1"/>
  <c r="J71" i="1"/>
  <c r="AE69" i="1"/>
  <c r="L70" i="1"/>
  <c r="AD36" i="1"/>
  <c r="I69" i="1"/>
  <c r="AC69" i="1" s="1"/>
  <c r="AB9" i="1"/>
  <c r="I71" i="1"/>
  <c r="AC9" i="1"/>
  <c r="AM71" i="1"/>
  <c r="T72" i="1"/>
  <c r="AM69" i="1"/>
  <c r="T70" i="1"/>
  <c r="Q72" i="1"/>
  <c r="AN71" i="1"/>
  <c r="U72" i="1"/>
  <c r="R72" i="1"/>
  <c r="AK71" i="1"/>
  <c r="P71" i="1"/>
  <c r="AI9" i="1"/>
  <c r="P69" i="1"/>
  <c r="AH71" i="1"/>
  <c r="O72" i="1"/>
  <c r="E70" i="1"/>
  <c r="S72" i="1"/>
  <c r="AL71" i="1"/>
  <c r="D69" i="1"/>
  <c r="W69" i="1" s="1"/>
  <c r="D71" i="1"/>
  <c r="W71" i="1" s="1"/>
  <c r="W9" i="1"/>
  <c r="K72" i="1"/>
  <c r="AD71" i="1"/>
  <c r="AD69" i="1"/>
  <c r="K70" i="1"/>
  <c r="E72" i="1"/>
  <c r="AH69" i="1"/>
  <c r="O70" i="1"/>
  <c r="AL69" i="1"/>
  <c r="S70" i="1"/>
  <c r="R70" i="1"/>
  <c r="AK69" i="1"/>
  <c r="AE71" i="1"/>
  <c r="L72" i="1"/>
  <c r="AF71" i="1"/>
  <c r="M72" i="1"/>
  <c r="AF69" i="1"/>
  <c r="M70" i="1"/>
  <c r="AG69" i="1"/>
  <c r="H69" i="1"/>
  <c r="AA9" i="1"/>
  <c r="H71" i="1"/>
  <c r="F72" i="10"/>
  <c r="M70" i="10"/>
  <c r="AF69" i="10"/>
  <c r="AG9" i="10"/>
  <c r="N71" i="10"/>
  <c r="N69" i="10"/>
  <c r="AH9" i="10"/>
  <c r="AA71" i="10"/>
  <c r="H72" i="10"/>
  <c r="J70" i="10"/>
  <c r="AC69" i="10"/>
  <c r="AD69" i="10"/>
  <c r="AE69" i="10"/>
  <c r="L70" i="10"/>
  <c r="AK9" i="10"/>
  <c r="R71" i="10"/>
  <c r="R69" i="10"/>
  <c r="AL69" i="10" s="1"/>
  <c r="E71" i="10"/>
  <c r="Y9" i="10"/>
  <c r="E69" i="10"/>
  <c r="X9" i="10"/>
  <c r="P72" i="10"/>
  <c r="AI71" i="10"/>
  <c r="AJ71" i="10"/>
  <c r="AI69" i="10"/>
  <c r="P70" i="10"/>
  <c r="M72" i="10"/>
  <c r="AF71" i="10"/>
  <c r="L72" i="10"/>
  <c r="AE71" i="10"/>
  <c r="H70" i="10"/>
  <c r="AA69" i="10"/>
  <c r="F69" i="10"/>
  <c r="Y38" i="10"/>
  <c r="AJ69" i="10"/>
  <c r="Z36" i="10"/>
  <c r="AA36" i="10"/>
  <c r="G71" i="10"/>
  <c r="J72" i="10"/>
  <c r="AD71" i="10"/>
  <c r="AC71" i="10"/>
  <c r="Z38" i="10"/>
  <c r="AL71" i="10"/>
  <c r="S72" i="10"/>
  <c r="AB71" i="10"/>
  <c r="S70" i="10"/>
  <c r="AM69" i="10"/>
  <c r="V72" i="10" l="1"/>
  <c r="AO71" i="10"/>
  <c r="V70" i="10"/>
  <c r="AO69" i="10"/>
  <c r="V72" i="1"/>
  <c r="AO71" i="1"/>
  <c r="V70" i="1"/>
  <c r="AO69" i="1"/>
  <c r="AI69" i="1"/>
  <c r="P70" i="1"/>
  <c r="Y69" i="1"/>
  <c r="F70" i="1"/>
  <c r="Z69" i="1"/>
  <c r="I72" i="1"/>
  <c r="AB71" i="1"/>
  <c r="AJ69" i="1"/>
  <c r="H70" i="1"/>
  <c r="AA69" i="1"/>
  <c r="AI71" i="1"/>
  <c r="P72" i="1"/>
  <c r="H72" i="1"/>
  <c r="AA71" i="1"/>
  <c r="X69" i="1"/>
  <c r="AJ71" i="1"/>
  <c r="J72" i="1"/>
  <c r="AC71" i="1"/>
  <c r="I70" i="1"/>
  <c r="AB69" i="1"/>
  <c r="X71" i="1"/>
  <c r="E72" i="10"/>
  <c r="X71" i="10"/>
  <c r="F70" i="10"/>
  <c r="Y69" i="10"/>
  <c r="Z69" i="10"/>
  <c r="AK71" i="10"/>
  <c r="R72" i="10"/>
  <c r="X69" i="10"/>
  <c r="E70" i="10"/>
  <c r="AK69" i="10"/>
  <c r="R70" i="10"/>
  <c r="N70" i="10"/>
  <c r="AG69" i="10"/>
  <c r="AH69" i="10"/>
  <c r="AG71" i="10"/>
  <c r="N72" i="10"/>
  <c r="AH71" i="10"/>
  <c r="Z71" i="10"/>
  <c r="G72" i="10"/>
  <c r="Y71" i="10"/>
</calcChain>
</file>

<file path=xl/sharedStrings.xml><?xml version="1.0" encoding="utf-8"?>
<sst xmlns="http://schemas.openxmlformats.org/spreadsheetml/2006/main" count="298" uniqueCount="143">
  <si>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</si>
  <si>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</si>
  <si>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</si>
  <si>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</si>
  <si>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</si>
  <si>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</si>
  <si>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</si>
  <si>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</si>
  <si>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</si>
  <si>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</si>
  <si>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</si>
  <si>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</si>
  <si>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</si>
  <si>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</si>
  <si>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</si>
  <si>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</si>
  <si>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</si>
  <si>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</si>
  <si>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</si>
  <si>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</si>
  <si>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</si>
  <si>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</si>
  <si>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</si>
  <si>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</si>
  <si>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</si>
  <si>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</si>
  <si>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</si>
  <si>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</si>
  <si>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</si>
  <si>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</si>
  <si>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</si>
  <si>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</si>
  <si>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</si>
  <si>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</si>
  <si>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</si>
  <si>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</si>
  <si>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</si>
  <si>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</si>
  <si>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</si>
  <si>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</si>
  <si>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</si>
  <si>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</si>
  <si>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>en millones de colones</t>
  </si>
  <si>
    <t>INGRESO, GASTO Y FINANCIAMIENTO DEL GOBIERNO CENTRAL</t>
  </si>
  <si>
    <t>,</t>
  </si>
  <si>
    <t>Acumulado al mes de octubre</t>
  </si>
  <si>
    <t>Mes de octubre</t>
  </si>
  <si>
    <t>% PIB</t>
  </si>
  <si>
    <t xml:space="preserve"> Impuesto Exportaciones Vía Terrestre</t>
  </si>
  <si>
    <t>Concesión Neta de Préstamos</t>
  </si>
  <si>
    <t xml:space="preserve">Concesión </t>
  </si>
  <si>
    <t xml:space="preserve">Recuperación </t>
  </si>
  <si>
    <r>
      <t xml:space="preserve">    Transferencias </t>
    </r>
    <r>
      <rPr>
        <vertAlign val="superscript"/>
        <sz val="10"/>
        <rFont val="Arial"/>
        <family val="2"/>
      </rPr>
      <t>1/</t>
    </r>
  </si>
  <si>
    <r>
      <t xml:space="preserve">    Transferencias</t>
    </r>
    <r>
      <rPr>
        <vertAlign val="superscript"/>
        <sz val="10"/>
        <rFont val="Arial"/>
        <family val="2"/>
      </rPr>
      <t xml:space="preserve"> 1/</t>
    </r>
  </si>
  <si>
    <t>GASTOS TOTALES Y CONCESIÓN NETA</t>
  </si>
  <si>
    <t>Derde Expad/valorem</t>
  </si>
  <si>
    <t>SUP/ DÉFICIT  FINANCIERO</t>
  </si>
  <si>
    <t>Fuente:  Cuadro elaborado en la Secretaría Técnica de la Autoridad Presupuestaria, con información suministrada por la Contabilidad Nacional y la Dirección de Crédito Público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</si>
  <si>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</si>
  <si>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</si>
  <si>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</si>
  <si>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</si>
  <si>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</si>
  <si>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</si>
  <si>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</si>
  <si>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</si>
  <si>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</si>
  <si>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</si>
  <si>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</si>
  <si>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18/19</t>
  </si>
  <si>
    <t>19/20</t>
  </si>
  <si>
    <t>20/21</t>
  </si>
  <si>
    <t>21/22</t>
  </si>
  <si>
    <t>Otros Ingresos tributarios diversos internos</t>
  </si>
  <si>
    <t>Otros Ingresos tributarios diversos aduanas</t>
  </si>
  <si>
    <t>22/23</t>
  </si>
  <si>
    <t>23/24</t>
  </si>
  <si>
    <t>17/18</t>
  </si>
  <si>
    <t>Cifras del mes de octubre 2019 - 2025</t>
  </si>
  <si>
    <t xml:space="preserve">Cifras acumuladas al mes de octubre 2019- 2025 </t>
  </si>
  <si>
    <t>24/25</t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</si>
  <si>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</si>
  <si>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</si>
  <si>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</si>
  <si>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</si>
  <si>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t>PIB</t>
    </r>
    <r>
      <rPr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</si>
  <si>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</si>
  <si>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 xml:space="preserve">3/ </t>
    </r>
    <r>
      <rPr>
        <sz val="10"/>
        <rFont val="Arial"/>
        <family val="2"/>
      </rPr>
      <t>Los egresos de bienes y servicios del programa 797 de Ministerio de Comercio Exterior a partir de enero 2020 se capitalizan y se incluyen en el rubro de inversión.</t>
    </r>
  </si>
  <si>
    <t xml:space="preserve"> </t>
  </si>
  <si>
    <t>GOBIERNO CENTRAL DE COSTA RICA</t>
  </si>
  <si>
    <t>PRINCIPALES INGRESOS</t>
  </si>
  <si>
    <t>COMPARATIVOS MES OCTBRE</t>
  </si>
  <si>
    <t>COMPARATIVOS ACUMULADO AL MES DE OCTUBRE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</si>
  <si>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</si>
  <si>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</si>
  <si>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</si>
  <si>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</si>
  <si>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</si>
  <si>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</si>
  <si>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</si>
  <si>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</si>
  <si>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</si>
  <si>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</si>
  <si>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</si>
  <si>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</si>
  <si>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</si>
  <si>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</si>
  <si>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</si>
  <si>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</si>
  <si>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</si>
  <si>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</si>
  <si>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</si>
  <si>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</si>
  <si>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</si>
  <si>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</si>
  <si>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</si>
  <si>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</si>
  <si>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</si>
  <si>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</si>
  <si>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</si>
  <si>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</si>
  <si>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</si>
  <si>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</si>
  <si>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</si>
  <si>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</si>
  <si>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</si>
  <si>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</si>
  <si>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</si>
  <si>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</si>
  <si>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</si>
  <si>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</si>
  <si>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</si>
  <si>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</si>
  <si>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</si>
  <si>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</si>
  <si>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</si>
  <si>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</si>
  <si>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</si>
  <si>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</si>
  <si>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</si>
  <si>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preliminares, proyección 2025-2027 utilizada en el informe de Política Monetaria  de octubre 2025, aprobado por la Junta Directiva en el artículo 6 del acta de la sesión 6289-2025, el 29 de octubre de 2025 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</si>
  <si>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preliminares, proyección 2025-2027 utilizada en el informe de Política Monetaria  de octubre 2025, aprobado por la Junta Directiva en el artículo 6 del acta de la sesión 6289-2025, el 29 de octubre de 2025 </t>
    </r>
  </si>
  <si>
    <r>
      <t>PIB</t>
    </r>
    <r>
      <rPr>
        <vertAlign val="superscript"/>
        <sz val="10"/>
        <rFont val="Arial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</si>
</sst>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s_-;\-* #,##0.00\ _P_t_s_-;_-* &quot;-&quot;??\ _P_t_s_-;_-@_-"/>
    <numFmt numFmtId="165" formatCode="#,##0.0\ _p_t_a"/>
    <numFmt numFmtId="166" formatCode="0.0"/>
    <numFmt numFmtId="167" formatCode="#,##0.0"/>
    <numFmt numFmtId="168" formatCode="#,##0.0_);\(#,##0.0\)"/>
    <numFmt numFmtId="169" formatCode="0.0%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b/>
      <u/>
      <sz val="8"/>
      <color theme="0"/>
      <name val="Arial"/>
      <family val="2"/>
    </font>
    <font>
      <sz val="8"/>
      <color theme="0"/>
      <name val="Arial"/>
      <family val="2"/>
    </font>
    <font>
      <sz val="8"/>
      <color theme="2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167" fontId="4" fillId="0" borderId="0" xfId="0" applyNumberFormat="1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7" fontId="4" fillId="0" borderId="0" xfId="0" applyNumberFormat="1" applyFont="1"/>
    <xf numFmtId="167" fontId="3" fillId="0" borderId="0" xfId="0" applyNumberFormat="1" applyFont="1"/>
    <xf numFmtId="165" fontId="3" fillId="0" borderId="0" xfId="0" applyNumberFormat="1" applyFont="1"/>
    <xf numFmtId="164" fontId="3" fillId="0" borderId="0" xfId="2" applyFo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 indent="2"/>
    </xf>
    <xf numFmtId="165" fontId="9" fillId="0" borderId="0" xfId="0" applyNumberFormat="1" applyFont="1"/>
    <xf numFmtId="167" fontId="8" fillId="0" borderId="0" xfId="0" applyNumberFormat="1" applyFont="1"/>
    <xf numFmtId="167" fontId="10" fillId="0" borderId="0" xfId="0" applyNumberFormat="1" applyFont="1"/>
    <xf numFmtId="167" fontId="11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3" fillId="0" borderId="0" xfId="0" applyNumberFormat="1" applyFont="1" applyAlignment="1">
      <alignment horizontal="left" indent="2"/>
    </xf>
    <xf numFmtId="167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67" fontId="3" fillId="0" borderId="0" xfId="0" applyNumberFormat="1" applyFont="1" applyAlignment="1">
      <alignment horizontal="right"/>
    </xf>
    <xf numFmtId="167" fontId="12" fillId="0" borderId="0" xfId="0" applyNumberFormat="1" applyFont="1"/>
    <xf numFmtId="169" fontId="7" fillId="0" borderId="0" xfId="10" applyNumberFormat="1" applyFont="1" applyBorder="1"/>
    <xf numFmtId="169" fontId="3" fillId="0" borderId="0" xfId="10" applyNumberFormat="1" applyFont="1" applyBorder="1"/>
    <xf numFmtId="169" fontId="2" fillId="0" borderId="0" xfId="10" applyNumberFormat="1" applyFont="1" applyBorder="1"/>
    <xf numFmtId="169" fontId="5" fillId="0" borderId="0" xfId="10" applyNumberFormat="1" applyFont="1" applyBorder="1"/>
    <xf numFmtId="167" fontId="11" fillId="0" borderId="0" xfId="8" applyNumberFormat="1" applyFont="1" applyAlignment="1">
      <alignment horizontal="left" wrapText="1"/>
    </xf>
    <xf numFmtId="0" fontId="4" fillId="0" borderId="0" xfId="8" applyFont="1" applyAlignment="1">
      <alignment horizontal="left" vertical="center" wrapText="1"/>
    </xf>
    <xf numFmtId="167" fontId="13" fillId="0" borderId="0" xfId="0" applyNumberFormat="1" applyFont="1" applyAlignment="1">
      <alignment horizontal="right"/>
    </xf>
    <xf numFmtId="167" fontId="11" fillId="0" borderId="0" xfId="3" applyNumberFormat="1" applyFont="1"/>
    <xf numFmtId="167" fontId="3" fillId="0" borderId="0" xfId="3" applyNumberFormat="1" applyFont="1"/>
    <xf numFmtId="167" fontId="4" fillId="0" borderId="0" xfId="3" applyNumberFormat="1" applyFont="1"/>
    <xf numFmtId="167" fontId="10" fillId="0" borderId="0" xfId="3" applyNumberFormat="1" applyFont="1"/>
    <xf numFmtId="167" fontId="3" fillId="0" borderId="0" xfId="3" applyNumberFormat="1" applyFont="1" applyAlignment="1">
      <alignment horizontal="right"/>
    </xf>
    <xf numFmtId="169" fontId="16" fillId="0" borderId="0" xfId="10" applyNumberFormat="1" applyFont="1" applyBorder="1"/>
    <xf numFmtId="169" fontId="23" fillId="0" borderId="0" xfId="10" applyNumberFormat="1" applyFont="1" applyBorder="1"/>
    <xf numFmtId="167" fontId="3" fillId="0" borderId="0" xfId="6" applyNumberFormat="1"/>
    <xf numFmtId="167" fontId="3" fillId="0" borderId="0" xfId="2" applyNumberFormat="1" applyFont="1" applyBorder="1" applyAlignment="1">
      <alignment horizontal="right"/>
    </xf>
    <xf numFmtId="167" fontId="3" fillId="0" borderId="0" xfId="2" applyNumberFormat="1" applyFont="1" applyFill="1" applyAlignment="1">
      <alignment horizontal="right"/>
    </xf>
    <xf numFmtId="169" fontId="24" fillId="0" borderId="0" xfId="10" applyNumberFormat="1" applyFont="1" applyBorder="1"/>
    <xf numFmtId="167" fontId="17" fillId="0" borderId="0" xfId="0" applyNumberFormat="1" applyFont="1" applyAlignment="1">
      <alignment horizontal="right" wrapText="1"/>
    </xf>
    <xf numFmtId="167" fontId="2" fillId="0" borderId="0" xfId="8" applyNumberFormat="1" applyFont="1"/>
    <xf numFmtId="167" fontId="11" fillId="0" borderId="0" xfId="8" applyNumberFormat="1" applyFont="1"/>
    <xf numFmtId="169" fontId="18" fillId="0" borderId="0" xfId="10" applyNumberFormat="1" applyFont="1" applyFill="1" applyBorder="1" applyAlignment="1">
      <alignment horizontal="right" wrapText="1"/>
    </xf>
    <xf numFmtId="167" fontId="3" fillId="0" borderId="0" xfId="2" applyNumberFormat="1" applyFont="1" applyFill="1" applyBorder="1" applyAlignment="1">
      <alignment horizontal="right"/>
    </xf>
    <xf numFmtId="169" fontId="2" fillId="0" borderId="0" xfId="10" applyNumberFormat="1" applyFont="1" applyFill="1" applyBorder="1"/>
    <xf numFmtId="169" fontId="25" fillId="0" borderId="0" xfId="10" applyNumberFormat="1" applyFont="1" applyBorder="1"/>
    <xf numFmtId="167" fontId="3" fillId="0" borderId="0" xfId="8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0" fillId="0" borderId="0" xfId="0" applyFont="1"/>
    <xf numFmtId="166" fontId="3" fillId="0" borderId="0" xfId="0" applyNumberFormat="1" applyFont="1"/>
    <xf numFmtId="0" fontId="4" fillId="0" borderId="1" xfId="8" applyFont="1" applyBorder="1" applyAlignment="1">
      <alignment horizontal="left" vertical="center" wrapText="1"/>
    </xf>
    <xf numFmtId="167" fontId="3" fillId="0" borderId="1" xfId="8" applyNumberFormat="1" applyBorder="1"/>
    <xf numFmtId="167" fontId="2" fillId="0" borderId="0" xfId="9" applyNumberFormat="1" applyFont="1"/>
    <xf numFmtId="169" fontId="5" fillId="0" borderId="3" xfId="10" applyNumberFormat="1" applyFont="1" applyFill="1" applyBorder="1" applyAlignment="1">
      <alignment horizontal="right"/>
    </xf>
    <xf numFmtId="169" fontId="5" fillId="0" borderId="4" xfId="10" applyNumberFormat="1" applyFont="1" applyFill="1" applyBorder="1" applyAlignment="1">
      <alignment horizontal="right"/>
    </xf>
    <xf numFmtId="169" fontId="20" fillId="0" borderId="3" xfId="10" applyNumberFormat="1" applyFont="1" applyFill="1" applyBorder="1"/>
    <xf numFmtId="169" fontId="20" fillId="0" borderId="4" xfId="10" applyNumberFormat="1" applyFont="1" applyFill="1" applyBorder="1"/>
    <xf numFmtId="169" fontId="5" fillId="0" borderId="5" xfId="10" applyNumberFormat="1" applyFont="1" applyFill="1" applyBorder="1"/>
    <xf numFmtId="169" fontId="5" fillId="0" borderId="6" xfId="10" applyNumberFormat="1" applyFont="1" applyFill="1" applyBorder="1"/>
    <xf numFmtId="169" fontId="5" fillId="0" borderId="7" xfId="10" applyNumberFormat="1" applyFont="1" applyFill="1" applyBorder="1"/>
    <xf numFmtId="169" fontId="7" fillId="2" borderId="8" xfId="10" applyNumberFormat="1" applyFont="1" applyFill="1" applyBorder="1"/>
    <xf numFmtId="169" fontId="7" fillId="2" borderId="7" xfId="10" applyNumberFormat="1" applyFont="1" applyFill="1" applyBorder="1"/>
    <xf numFmtId="167" fontId="7" fillId="3" borderId="7" xfId="7" applyNumberFormat="1" applyFont="1" applyFill="1" applyBorder="1"/>
    <xf numFmtId="167" fontId="5" fillId="0" borderId="9" xfId="11" applyNumberFormat="1" applyFont="1" applyFill="1" applyBorder="1"/>
    <xf numFmtId="169" fontId="5" fillId="0" borderId="10" xfId="10" applyNumberFormat="1" applyFont="1" applyFill="1" applyBorder="1" applyAlignment="1"/>
    <xf numFmtId="169" fontId="5" fillId="0" borderId="9" xfId="10" applyNumberFormat="1" applyFont="1" applyFill="1" applyBorder="1" applyAlignment="1"/>
    <xf numFmtId="169" fontId="7" fillId="0" borderId="10" xfId="10" applyNumberFormat="1" applyFont="1" applyFill="1" applyBorder="1" applyAlignment="1"/>
    <xf numFmtId="169" fontId="7" fillId="0" borderId="9" xfId="10" applyNumberFormat="1" applyFont="1" applyFill="1" applyBorder="1" applyAlignment="1"/>
    <xf numFmtId="167" fontId="2" fillId="0" borderId="9" xfId="11" applyNumberFormat="1" applyFont="1" applyFill="1" applyBorder="1"/>
    <xf numFmtId="167" fontId="2" fillId="0" borderId="11" xfId="11" applyNumberFormat="1" applyFont="1" applyFill="1" applyBorder="1"/>
    <xf numFmtId="169" fontId="2" fillId="0" borderId="10" xfId="10" applyNumberFormat="1" applyFont="1" applyFill="1" applyBorder="1"/>
    <xf numFmtId="169" fontId="2" fillId="0" borderId="9" xfId="10" applyNumberFormat="1" applyFont="1" applyFill="1" applyBorder="1"/>
    <xf numFmtId="169" fontId="2" fillId="0" borderId="10" xfId="10" applyNumberFormat="1" applyFont="1" applyFill="1" applyBorder="1" applyAlignment="1"/>
    <xf numFmtId="169" fontId="2" fillId="0" borderId="9" xfId="10" applyNumberFormat="1" applyFont="1" applyFill="1" applyBorder="1" applyAlignment="1"/>
    <xf numFmtId="169" fontId="7" fillId="0" borderId="7" xfId="10" applyNumberFormat="1" applyFont="1" applyFill="1" applyBorder="1"/>
    <xf numFmtId="169" fontId="7" fillId="0" borderId="12" xfId="10" applyNumberFormat="1" applyFont="1" applyFill="1" applyBorder="1"/>
    <xf numFmtId="169" fontId="7" fillId="0" borderId="13" xfId="10" applyNumberFormat="1" applyFont="1" applyFill="1" applyBorder="1"/>
    <xf numFmtId="169" fontId="2" fillId="0" borderId="11" xfId="10" applyNumberFormat="1" applyFont="1" applyFill="1" applyBorder="1"/>
    <xf numFmtId="167" fontId="2" fillId="0" borderId="4" xfId="11" applyNumberFormat="1" applyFont="1" applyFill="1" applyBorder="1"/>
    <xf numFmtId="169" fontId="2" fillId="0" borderId="4" xfId="10" applyNumberFormat="1" applyFont="1" applyFill="1" applyBorder="1"/>
    <xf numFmtId="169" fontId="2" fillId="0" borderId="14" xfId="10" applyNumberFormat="1" applyFont="1" applyFill="1" applyBorder="1"/>
    <xf numFmtId="167" fontId="2" fillId="0" borderId="14" xfId="11" applyNumberFormat="1" applyFont="1" applyFill="1" applyBorder="1"/>
    <xf numFmtId="169" fontId="2" fillId="0" borderId="2" xfId="10" applyNumberFormat="1" applyFont="1" applyFill="1" applyBorder="1"/>
    <xf numFmtId="169" fontId="7" fillId="0" borderId="9" xfId="10" applyNumberFormat="1" applyFont="1" applyFill="1" applyBorder="1"/>
    <xf numFmtId="167" fontId="2" fillId="3" borderId="7" xfId="11" applyNumberFormat="1" applyFont="1" applyFill="1" applyBorder="1"/>
    <xf numFmtId="169" fontId="2" fillId="2" borderId="7" xfId="10" applyNumberFormat="1" applyFont="1" applyFill="1" applyBorder="1"/>
    <xf numFmtId="167" fontId="2" fillId="3" borderId="9" xfId="11" applyNumberFormat="1" applyFont="1" applyFill="1" applyBorder="1"/>
    <xf numFmtId="169" fontId="2" fillId="2" borderId="9" xfId="10" applyNumberFormat="1" applyFont="1" applyFill="1" applyBorder="1"/>
    <xf numFmtId="167" fontId="2" fillId="3" borderId="4" xfId="11" applyNumberFormat="1" applyFont="1" applyFill="1" applyBorder="1"/>
    <xf numFmtId="169" fontId="2" fillId="2" borderId="4" xfId="10" applyNumberFormat="1" applyFont="1" applyFill="1" applyBorder="1"/>
    <xf numFmtId="167" fontId="7" fillId="3" borderId="11" xfId="7" applyNumberFormat="1" applyFont="1" applyFill="1" applyBorder="1"/>
    <xf numFmtId="167" fontId="5" fillId="0" borderId="11" xfId="11" applyNumberFormat="1" applyFont="1" applyFill="1" applyBorder="1"/>
    <xf numFmtId="169" fontId="7" fillId="0" borderId="10" xfId="10" applyNumberFormat="1" applyFont="1" applyFill="1" applyBorder="1"/>
    <xf numFmtId="169" fontId="7" fillId="0" borderId="0" xfId="10" applyNumberFormat="1" applyFont="1" applyFill="1" applyBorder="1"/>
    <xf numFmtId="169" fontId="7" fillId="0" borderId="8" xfId="10" applyNumberFormat="1" applyFont="1" applyFill="1" applyBorder="1"/>
    <xf numFmtId="169" fontId="2" fillId="0" borderId="3" xfId="10" applyNumberFormat="1" applyFont="1" applyFill="1" applyBorder="1"/>
    <xf numFmtId="169" fontId="2" fillId="2" borderId="13" xfId="10" applyNumberFormat="1" applyFont="1" applyFill="1" applyBorder="1"/>
    <xf numFmtId="169" fontId="2" fillId="2" borderId="0" xfId="10" applyNumberFormat="1" applyFont="1" applyFill="1" applyBorder="1"/>
    <xf numFmtId="169" fontId="2" fillId="2" borderId="2" xfId="10" applyNumberFormat="1" applyFont="1" applyFill="1" applyBorder="1"/>
    <xf numFmtId="169" fontId="2" fillId="2" borderId="6" xfId="10" applyNumberFormat="1" applyFont="1" applyFill="1" applyBorder="1"/>
    <xf numFmtId="167" fontId="3" fillId="0" borderId="1" xfId="0" applyNumberFormat="1" applyFont="1" applyBorder="1"/>
    <xf numFmtId="167" fontId="7" fillId="3" borderId="12" xfId="7" applyNumberFormat="1" applyFont="1" applyFill="1" applyBorder="1"/>
    <xf numFmtId="167" fontId="2" fillId="3" borderId="12" xfId="11" applyNumberFormat="1" applyFont="1" applyFill="1" applyBorder="1"/>
    <xf numFmtId="167" fontId="2" fillId="3" borderId="11" xfId="11" applyNumberFormat="1" applyFont="1" applyFill="1" applyBorder="1"/>
    <xf numFmtId="167" fontId="2" fillId="3" borderId="14" xfId="11" applyNumberFormat="1" applyFont="1" applyFill="1" applyBorder="1"/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169" fontId="24" fillId="4" borderId="0" xfId="10" applyNumberFormat="1" applyFont="1" applyFill="1" applyBorder="1"/>
    <xf numFmtId="167" fontId="5" fillId="0" borderId="6" xfId="7" applyNumberFormat="1" applyFont="1" applyBorder="1"/>
    <xf numFmtId="167" fontId="5" fillId="0" borderId="15" xfId="7" applyNumberFormat="1" applyFont="1" applyBorder="1"/>
    <xf numFmtId="167" fontId="5" fillId="0" borderId="4" xfId="7" applyNumberFormat="1" applyFont="1" applyBorder="1"/>
    <xf numFmtId="167" fontId="5" fillId="0" borderId="14" xfId="7" applyNumberFormat="1" applyFont="1" applyBorder="1"/>
    <xf numFmtId="167" fontId="27" fillId="0" borderId="6" xfId="7" applyNumberFormat="1" applyFont="1" applyBorder="1"/>
    <xf numFmtId="167" fontId="27" fillId="0" borderId="15" xfId="7" applyNumberFormat="1" applyFont="1" applyBorder="1"/>
    <xf numFmtId="167" fontId="5" fillId="0" borderId="16" xfId="7" applyNumberFormat="1" applyFont="1" applyBorder="1"/>
    <xf numFmtId="167" fontId="5" fillId="0" borderId="7" xfId="7" applyNumberFormat="1" applyFont="1" applyBorder="1"/>
    <xf numFmtId="167" fontId="5" fillId="0" borderId="12" xfId="7" applyNumberFormat="1" applyFont="1" applyBorder="1"/>
    <xf numFmtId="167" fontId="7" fillId="0" borderId="11" xfId="7" applyNumberFormat="1" applyFont="1" applyBorder="1"/>
    <xf numFmtId="167" fontId="7" fillId="0" borderId="9" xfId="7" applyNumberFormat="1" applyFont="1" applyBorder="1"/>
    <xf numFmtId="169" fontId="24" fillId="0" borderId="10" xfId="10" applyNumberFormat="1" applyFont="1" applyFill="1" applyBorder="1"/>
    <xf numFmtId="169" fontId="24" fillId="0" borderId="9" xfId="10" applyNumberFormat="1" applyFont="1" applyFill="1" applyBorder="1"/>
    <xf numFmtId="169" fontId="24" fillId="0" borderId="10" xfId="10" applyNumberFormat="1" applyFont="1" applyFill="1" applyBorder="1" applyAlignment="1"/>
    <xf numFmtId="169" fontId="24" fillId="0" borderId="9" xfId="10" applyNumberFormat="1" applyFont="1" applyFill="1" applyBorder="1" applyAlignment="1"/>
    <xf numFmtId="167" fontId="2" fillId="0" borderId="11" xfId="7" applyNumberFormat="1" applyFont="1" applyBorder="1"/>
    <xf numFmtId="167" fontId="2" fillId="0" borderId="9" xfId="7" applyNumberFormat="1" applyFont="1" applyBorder="1"/>
    <xf numFmtId="167" fontId="7" fillId="0" borderId="7" xfId="7" applyNumberFormat="1" applyFont="1" applyBorder="1"/>
    <xf numFmtId="167" fontId="7" fillId="0" borderId="12" xfId="7" applyNumberFormat="1" applyFont="1" applyBorder="1"/>
    <xf numFmtId="0" fontId="2" fillId="0" borderId="10" xfId="7" applyFont="1" applyBorder="1" applyAlignment="1">
      <alignment horizontal="left"/>
    </xf>
    <xf numFmtId="0" fontId="2" fillId="0" borderId="3" xfId="7" applyFont="1" applyBorder="1" applyAlignment="1">
      <alignment horizontal="left"/>
    </xf>
    <xf numFmtId="167" fontId="2" fillId="0" borderId="4" xfId="7" applyNumberFormat="1" applyFont="1" applyBorder="1"/>
    <xf numFmtId="167" fontId="2" fillId="0" borderId="14" xfId="7" applyNumberFormat="1" applyFont="1" applyBorder="1"/>
    <xf numFmtId="169" fontId="24" fillId="0" borderId="0" xfId="10" applyNumberFormat="1" applyFont="1" applyFill="1" applyBorder="1"/>
    <xf numFmtId="167" fontId="22" fillId="0" borderId="9" xfId="7" applyNumberFormat="1" applyFont="1" applyBorder="1"/>
    <xf numFmtId="167" fontId="22" fillId="0" borderId="11" xfId="7" applyNumberFormat="1" applyFont="1" applyBorder="1"/>
    <xf numFmtId="167" fontId="7" fillId="0" borderId="4" xfId="7" applyNumberFormat="1" applyFont="1" applyBorder="1"/>
    <xf numFmtId="167" fontId="7" fillId="0" borderId="14" xfId="7" applyNumberFormat="1" applyFont="1" applyBorder="1"/>
    <xf numFmtId="0" fontId="5" fillId="2" borderId="7" xfId="7" applyFont="1" applyFill="1" applyBorder="1" applyAlignment="1">
      <alignment horizontal="left"/>
    </xf>
    <xf numFmtId="0" fontId="2" fillId="0" borderId="9" xfId="7" applyFont="1" applyBorder="1" applyAlignment="1">
      <alignment horizontal="left"/>
    </xf>
    <xf numFmtId="0" fontId="5" fillId="0" borderId="9" xfId="7" applyFont="1" applyBorder="1" applyAlignment="1">
      <alignment horizontal="left"/>
    </xf>
    <xf numFmtId="0" fontId="2" fillId="0" borderId="4" xfId="7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169" fontId="24" fillId="0" borderId="11" xfId="10" applyNumberFormat="1" applyFont="1" applyFill="1" applyBorder="1"/>
    <xf numFmtId="4" fontId="3" fillId="0" borderId="0" xfId="0" applyNumberFormat="1" applyFont="1"/>
    <xf numFmtId="0" fontId="4" fillId="0" borderId="17" xfId="0" applyFont="1" applyBorder="1" applyAlignment="1">
      <alignment horizontal="center"/>
    </xf>
    <xf numFmtId="0" fontId="2" fillId="0" borderId="0" xfId="6" applyFont="1"/>
    <xf numFmtId="0" fontId="28" fillId="0" borderId="0" xfId="6" applyFont="1"/>
    <xf numFmtId="167" fontId="28" fillId="0" borderId="0" xfId="6" applyNumberFormat="1" applyFont="1"/>
    <xf numFmtId="168" fontId="2" fillId="0" borderId="0" xfId="6" applyNumberFormat="1" applyFont="1"/>
    <xf numFmtId="167" fontId="2" fillId="0" borderId="0" xfId="6" applyNumberFormat="1" applyFont="1"/>
    <xf numFmtId="0" fontId="5" fillId="0" borderId="0" xfId="6" applyFont="1" applyAlignment="1">
      <alignment horizontal="center"/>
    </xf>
    <xf numFmtId="0" fontId="5" fillId="2" borderId="5" xfId="6" applyFont="1" applyFill="1" applyBorder="1" applyAlignment="1">
      <alignment horizontal="center"/>
    </xf>
    <xf numFmtId="0" fontId="5" fillId="2" borderId="6" xfId="6" applyFont="1" applyFill="1" applyBorder="1" applyAlignment="1">
      <alignment horizontal="center"/>
    </xf>
    <xf numFmtId="0" fontId="5" fillId="2" borderId="15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/>
    </xf>
    <xf numFmtId="0" fontId="5" fillId="2" borderId="4" xfId="6" applyFont="1" applyFill="1" applyBorder="1" applyAlignment="1">
      <alignment horizontal="center"/>
    </xf>
    <xf numFmtId="0" fontId="5" fillId="2" borderId="2" xfId="6" applyFont="1" applyFill="1" applyBorder="1" applyAlignment="1">
      <alignment horizontal="center"/>
    </xf>
    <xf numFmtId="49" fontId="5" fillId="2" borderId="6" xfId="6" applyNumberFormat="1" applyFont="1" applyFill="1" applyBorder="1" applyAlignment="1">
      <alignment horizontal="center" wrapText="1"/>
    </xf>
    <xf numFmtId="49" fontId="5" fillId="2" borderId="14" xfId="6" applyNumberFormat="1" applyFont="1" applyFill="1" applyBorder="1" applyAlignment="1">
      <alignment horizontal="center" wrapText="1"/>
    </xf>
    <xf numFmtId="0" fontId="5" fillId="0" borderId="3" xfId="6" applyFont="1" applyBorder="1" applyAlignment="1">
      <alignment horizontal="center"/>
    </xf>
    <xf numFmtId="167" fontId="5" fillId="0" borderId="6" xfId="6" applyNumberFormat="1" applyFont="1" applyBorder="1"/>
    <xf numFmtId="0" fontId="20" fillId="0" borderId="5" xfId="6" applyFont="1" applyBorder="1" applyAlignment="1">
      <alignment horizontal="center"/>
    </xf>
    <xf numFmtId="167" fontId="20" fillId="0" borderId="6" xfId="6" applyNumberFormat="1" applyFont="1" applyBorder="1"/>
    <xf numFmtId="0" fontId="2" fillId="0" borderId="5" xfId="6" applyFont="1" applyBorder="1" applyAlignment="1">
      <alignment horizontal="left"/>
    </xf>
    <xf numFmtId="167" fontId="7" fillId="2" borderId="7" xfId="6" applyNumberFormat="1" applyFont="1" applyFill="1" applyBorder="1"/>
    <xf numFmtId="0" fontId="5" fillId="2" borderId="8" xfId="6" applyFont="1" applyFill="1" applyBorder="1" applyAlignment="1">
      <alignment horizontal="left"/>
    </xf>
    <xf numFmtId="167" fontId="5" fillId="0" borderId="9" xfId="13" applyNumberFormat="1" applyFont="1" applyFill="1" applyBorder="1"/>
    <xf numFmtId="0" fontId="2" fillId="0" borderId="10" xfId="6" applyFont="1" applyBorder="1" applyAlignment="1">
      <alignment horizontal="left"/>
    </xf>
    <xf numFmtId="167" fontId="7" fillId="0" borderId="9" xfId="6" applyNumberFormat="1" applyFont="1" applyBorder="1"/>
    <xf numFmtId="0" fontId="5" fillId="0" borderId="0" xfId="6" applyFont="1"/>
    <xf numFmtId="0" fontId="5" fillId="0" borderId="10" xfId="6" applyFont="1" applyBorder="1" applyAlignment="1">
      <alignment horizontal="left"/>
    </xf>
    <xf numFmtId="167" fontId="2" fillId="0" borderId="9" xfId="13" applyNumberFormat="1" applyFont="1" applyFill="1" applyBorder="1"/>
    <xf numFmtId="167" fontId="2" fillId="0" borderId="9" xfId="6" applyNumberFormat="1" applyFont="1" applyBorder="1"/>
    <xf numFmtId="0" fontId="5" fillId="0" borderId="8" xfId="6" applyFont="1" applyBorder="1" applyAlignment="1">
      <alignment horizontal="left"/>
    </xf>
    <xf numFmtId="167" fontId="7" fillId="0" borderId="7" xfId="6" applyNumberFormat="1" applyFont="1" applyBorder="1"/>
    <xf numFmtId="167" fontId="2" fillId="0" borderId="4" xfId="13" applyNumberFormat="1" applyFont="1" applyFill="1" applyBorder="1"/>
    <xf numFmtId="0" fontId="21" fillId="0" borderId="10" xfId="6" applyFont="1" applyBorder="1" applyAlignment="1">
      <alignment horizontal="left"/>
    </xf>
    <xf numFmtId="0" fontId="21" fillId="0" borderId="3" xfId="6" applyFont="1" applyBorder="1" applyAlignment="1">
      <alignment horizontal="left"/>
    </xf>
    <xf numFmtId="167" fontId="7" fillId="0" borderId="11" xfId="6" applyNumberFormat="1" applyFont="1" applyBorder="1"/>
    <xf numFmtId="167" fontId="2" fillId="0" borderId="11" xfId="13" applyNumberFormat="1" applyFont="1" applyFill="1" applyBorder="1"/>
    <xf numFmtId="168" fontId="2" fillId="0" borderId="3" xfId="6" applyNumberFormat="1" applyFont="1" applyBorder="1" applyAlignment="1">
      <alignment horizontal="left"/>
    </xf>
    <xf numFmtId="167" fontId="2" fillId="0" borderId="14" xfId="6" applyNumberFormat="1" applyFont="1" applyBorder="1"/>
    <xf numFmtId="167" fontId="7" fillId="0" borderId="12" xfId="6" applyNumberFormat="1" applyFont="1" applyBorder="1"/>
    <xf numFmtId="166" fontId="2" fillId="0" borderId="10" xfId="6" applyNumberFormat="1" applyFont="1" applyBorder="1" applyAlignment="1">
      <alignment horizontal="left"/>
    </xf>
    <xf numFmtId="0" fontId="2" fillId="0" borderId="3" xfId="6" applyFont="1" applyBorder="1" applyAlignment="1">
      <alignment horizontal="left"/>
    </xf>
    <xf numFmtId="167" fontId="22" fillId="0" borderId="11" xfId="6" applyNumberFormat="1" applyFont="1" applyBorder="1"/>
    <xf numFmtId="167" fontId="7" fillId="0" borderId="4" xfId="6" applyNumberFormat="1" applyFont="1" applyBorder="1"/>
    <xf numFmtId="0" fontId="5" fillId="2" borderId="10" xfId="6" applyFont="1" applyFill="1" applyBorder="1" applyAlignment="1">
      <alignment horizontal="left"/>
    </xf>
    <xf numFmtId="167" fontId="2" fillId="2" borderId="12" xfId="13" applyNumberFormat="1" applyFont="1" applyFill="1" applyBorder="1"/>
    <xf numFmtId="167" fontId="2" fillId="2" borderId="11" xfId="13" applyNumberFormat="1" applyFont="1" applyFill="1" applyBorder="1"/>
    <xf numFmtId="0" fontId="5" fillId="2" borderId="3" xfId="6" applyFont="1" applyFill="1" applyBorder="1" applyAlignment="1">
      <alignment horizontal="left"/>
    </xf>
    <xf numFmtId="167" fontId="2" fillId="2" borderId="14" xfId="13" applyNumberFormat="1" applyFont="1" applyFill="1" applyBorder="1"/>
    <xf numFmtId="0" fontId="2" fillId="0" borderId="2" xfId="6" applyFont="1" applyBorder="1"/>
    <xf numFmtId="0" fontId="5" fillId="2" borderId="5" xfId="6" applyFont="1" applyFill="1" applyBorder="1" applyAlignment="1">
      <alignment horizontal="left"/>
    </xf>
    <xf numFmtId="0" fontId="1" fillId="0" borderId="0" xfId="0" applyFont="1"/>
    <xf numFmtId="167" fontId="1" fillId="0" borderId="0" xfId="8" applyNumberFormat="1" applyFont="1"/>
    <xf numFmtId="49" fontId="3" fillId="0" borderId="0" xfId="3" applyNumberFormat="1" applyFont="1" applyAlignment="1">
      <alignment horizontal="left" wrapText="1"/>
    </xf>
    <xf numFmtId="0" fontId="4" fillId="0" borderId="17" xfId="0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6" applyFont="1" applyAlignment="1">
      <alignment horizontal="center"/>
    </xf>
    <xf numFmtId="49" fontId="5" fillId="2" borderId="5" xfId="6" applyNumberFormat="1" applyFont="1" applyFill="1" applyBorder="1" applyAlignment="1">
      <alignment horizontal="center" wrapText="1"/>
    </xf>
    <xf numFmtId="49" fontId="5" fillId="2" borderId="15" xfId="6" applyNumberFormat="1" applyFont="1" applyFill="1" applyBorder="1" applyAlignment="1">
      <alignment horizontal="center" wrapText="1"/>
    </xf>
  </cellXfs>
  <cellStyles count="14">
    <cellStyle name="Euro" xfId="1" xr:uid="{A4430323-9D60-464C-9E8E-64A882463602}"/>
    <cellStyle name="Millares" xfId="2" builtinId="3"/>
    <cellStyle name="Normal" xfId="0" builtinId="0"/>
    <cellStyle name="Normal 2" xfId="3" xr:uid="{D4410DF1-D9FA-4465-B511-51B1F7D63AEF}"/>
    <cellStyle name="Normal 3" xfId="4" xr:uid="{D97B9092-A6A6-41C3-8BD6-3255994D42C2}"/>
    <cellStyle name="Normal 3 2" xfId="5" xr:uid="{92130E90-4ED9-48AB-9FC2-4B33D109361B}"/>
    <cellStyle name="Normal_Cuadro Resumen 05-06 2" xfId="6" xr:uid="{713D3191-2232-4358-8129-DDC862C83828}"/>
    <cellStyle name="Normal_Cuadro Resumen 05-06 2 2" xfId="7" xr:uid="{C3E28B2F-81B5-4B69-9F7A-E652EB04BB0D}"/>
    <cellStyle name="Normal_plantilla para datos fiscales" xfId="8" xr:uid="{080EE643-5889-48EF-9BB8-9BB7A9318027}"/>
    <cellStyle name="Normal_plantilla para datos fiscales 2" xfId="9" xr:uid="{33CC102A-0D35-455F-8731-C091BDECD48B}"/>
    <cellStyle name="Porcentaje" xfId="10" builtinId="5"/>
    <cellStyle name="Porcentual 2" xfId="13" xr:uid="{89610A29-5AED-4E9D-9793-3384F7B74F02}"/>
    <cellStyle name="Porcentual 2 10" xfId="11" xr:uid="{F05A33ED-8CF5-463D-A0DE-0434DAB2A29B}"/>
    <cellStyle name="Porcentual 2 2" xfId="12" xr:uid="{61A79DDE-9DC5-4E1E-9884-7C079DC19E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16</xdr:col>
      <xdr:colOff>114300</xdr:colOff>
      <xdr:row>4</xdr:row>
      <xdr:rowOff>95250</xdr:rowOff>
    </xdr:to>
    <xdr:pic>
      <xdr:nvPicPr>
        <xdr:cNvPr id="2777" name="Imagen 6">
          <a:extLst>
            <a:ext uri="{FF2B5EF4-FFF2-40B4-BE49-F238E27FC236}">
              <a16:creationId xmlns:a16="http://schemas.microsoft.com/office/drawing/2014/main" id="{A2D8273F-EB77-DF75-8861-C9E0749B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590550</xdr:colOff>
      <xdr:row>3</xdr:row>
      <xdr:rowOff>114300</xdr:rowOff>
    </xdr:to>
    <xdr:pic>
      <xdr:nvPicPr>
        <xdr:cNvPr id="1753" name="Imagen 6">
          <a:extLst>
            <a:ext uri="{FF2B5EF4-FFF2-40B4-BE49-F238E27FC236}">
              <a16:creationId xmlns:a16="http://schemas.microsoft.com/office/drawing/2014/main" id="{31FB0687-63D2-B346-3E71-BF45DD82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4" name="Imagen 4">
          <a:extLst>
            <a:ext uri="{FF2B5EF4-FFF2-40B4-BE49-F238E27FC236}">
              <a16:creationId xmlns:a16="http://schemas.microsoft.com/office/drawing/2014/main" id="{9D7EFF44-11B7-138B-295D-EB2933D3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5" name="Imagen 4">
          <a:extLst>
            <a:ext uri="{FF2B5EF4-FFF2-40B4-BE49-F238E27FC236}">
              <a16:creationId xmlns:a16="http://schemas.microsoft.com/office/drawing/2014/main" id="{FE4194A1-974D-1580-392F-1369BE69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6" name="Imagen 4">
          <a:extLst>
            <a:ext uri="{FF2B5EF4-FFF2-40B4-BE49-F238E27FC236}">
              <a16:creationId xmlns:a16="http://schemas.microsoft.com/office/drawing/2014/main" id="{E0BE2966-E390-A73C-878A-05611DE9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7" name="Imagen 4">
          <a:extLst>
            <a:ext uri="{FF2B5EF4-FFF2-40B4-BE49-F238E27FC236}">
              <a16:creationId xmlns:a16="http://schemas.microsoft.com/office/drawing/2014/main" id="{AF66C057-1C8A-8A28-4CFE-D1B7A8F1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8" name="Imagen 4">
          <a:extLst>
            <a:ext uri="{FF2B5EF4-FFF2-40B4-BE49-F238E27FC236}">
              <a16:creationId xmlns:a16="http://schemas.microsoft.com/office/drawing/2014/main" id="{C559812F-6E82-D45E-5172-8F0ED120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49" name="Imagen 4">
          <a:extLst>
            <a:ext uri="{FF2B5EF4-FFF2-40B4-BE49-F238E27FC236}">
              <a16:creationId xmlns:a16="http://schemas.microsoft.com/office/drawing/2014/main" id="{FBC80F80-B38C-040A-6904-88466617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1485900</xdr:colOff>
      <xdr:row>4</xdr:row>
      <xdr:rowOff>114300</xdr:rowOff>
    </xdr:to>
    <xdr:pic>
      <xdr:nvPicPr>
        <xdr:cNvPr id="3150" name="Imagen 4">
          <a:extLst>
            <a:ext uri="{FF2B5EF4-FFF2-40B4-BE49-F238E27FC236}">
              <a16:creationId xmlns:a16="http://schemas.microsoft.com/office/drawing/2014/main" id="{2327AB33-8A96-2CCB-CAE7-CD15F0AB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C02A-DFC1-4AD6-9EA3-93B17367156C}">
  <dimension ref="A1:AO87"/>
  <sheetViews>
    <sheetView tabSelected="1" zoomScale="98" zoomScaleNormal="98" workbookViewId="0">
      <pane xSplit="2" ySplit="7" topLeftCell="P55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53125" defaultRowHeight="12.5" x14ac:dyDescent="0.25"/>
  <cols>
    <col min="1" max="1" width="3.81640625" style="1" customWidth="1"/>
    <col min="2" max="2" width="37.26953125" style="1" customWidth="1"/>
    <col min="3" max="15" width="10" style="1" hidden="1" customWidth="1"/>
    <col min="16" max="17" width="10" style="1" bestFit="1" customWidth="1"/>
    <col min="18" max="22" width="10" style="1" customWidth="1"/>
    <col min="23" max="24" width="6.81640625" style="7" hidden="1" customWidth="1"/>
    <col min="25" max="25" width="8" style="7" hidden="1" customWidth="1"/>
    <col min="26" max="26" width="6.81640625" style="7" hidden="1" customWidth="1"/>
    <col min="27" max="27" width="6.26953125" style="7" hidden="1" customWidth="1"/>
    <col min="28" max="28" width="6.81640625" style="7" hidden="1" customWidth="1"/>
    <col min="29" max="29" width="7.1796875" style="7" hidden="1" customWidth="1"/>
    <col min="30" max="32" width="6.81640625" style="7" hidden="1" customWidth="1"/>
    <col min="33" max="34" width="6.81640625" style="1" hidden="1" customWidth="1"/>
    <col min="35" max="35" width="7.1796875" style="1" hidden="1" customWidth="1"/>
    <col min="36" max="36" width="6.81640625" style="6" bestFit="1" customWidth="1"/>
    <col min="37" max="37" width="7.453125" style="1" bestFit="1" customWidth="1"/>
    <col min="38" max="38" width="7.1796875" style="1" bestFit="1" customWidth="1"/>
    <col min="39" max="39" width="10" style="1" customWidth="1"/>
    <col min="40" max="40" width="7.453125" style="1" bestFit="1" customWidth="1"/>
    <col min="41" max="41" width="8.26953125" style="1" bestFit="1" customWidth="1"/>
    <col min="42" max="16384" width="11.453125" style="1"/>
  </cols>
  <sheetData>
    <row r="1" spans="1:41" x14ac:dyDescent="0.25">
      <c r="AG1" s="8"/>
    </row>
    <row r="2" spans="1:41" ht="13" x14ac:dyDescent="0.3">
      <c r="A2" s="207" t="s">
        <v>43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</row>
    <row r="3" spans="1:41" ht="13" x14ac:dyDescent="0.3">
      <c r="A3" s="208" t="s">
        <v>78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</row>
    <row r="4" spans="1:41" x14ac:dyDescent="0.25">
      <c r="A4" s="209" t="s">
        <v>42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</row>
    <row r="5" spans="1:41" ht="13" thickBot="1" x14ac:dyDescent="0.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9"/>
      <c r="AI5" s="9"/>
      <c r="AJ5" s="110"/>
      <c r="AK5" s="110"/>
      <c r="AL5" s="9"/>
      <c r="AM5" s="9"/>
      <c r="AN5" s="9"/>
      <c r="AO5" s="9"/>
    </row>
    <row r="6" spans="1:41" ht="13.5" thickTop="1" x14ac:dyDescent="0.3">
      <c r="C6" s="206" t="s">
        <v>46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153"/>
      <c r="W6" s="206" t="s">
        <v>20</v>
      </c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spans="1:41" x14ac:dyDescent="0.25">
      <c r="B7" s="12" t="s">
        <v>0</v>
      </c>
      <c r="C7" s="13">
        <v>2006</v>
      </c>
      <c r="D7" s="13">
        <v>2007</v>
      </c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2013</v>
      </c>
      <c r="K7" s="13">
        <v>2014</v>
      </c>
      <c r="L7" s="13">
        <v>2015</v>
      </c>
      <c r="M7" s="13">
        <v>2016</v>
      </c>
      <c r="N7" s="13">
        <v>2017</v>
      </c>
      <c r="O7" s="13">
        <v>2018</v>
      </c>
      <c r="P7" s="13">
        <v>2019</v>
      </c>
      <c r="Q7" s="13">
        <v>2020</v>
      </c>
      <c r="R7" s="13">
        <v>2021</v>
      </c>
      <c r="S7" s="13">
        <v>2022</v>
      </c>
      <c r="T7" s="13">
        <v>2023</v>
      </c>
      <c r="U7" s="13">
        <v>2024</v>
      </c>
      <c r="V7" s="13">
        <v>2025</v>
      </c>
      <c r="W7" s="14" t="s">
        <v>58</v>
      </c>
      <c r="X7" s="14" t="s">
        <v>59</v>
      </c>
      <c r="Y7" s="14" t="s">
        <v>60</v>
      </c>
      <c r="Z7" s="14" t="s">
        <v>61</v>
      </c>
      <c r="AA7" s="14" t="s">
        <v>62</v>
      </c>
      <c r="AB7" s="14" t="s">
        <v>63</v>
      </c>
      <c r="AC7" s="14" t="s">
        <v>64</v>
      </c>
      <c r="AD7" s="14" t="s">
        <v>65</v>
      </c>
      <c r="AE7" s="14" t="s">
        <v>66</v>
      </c>
      <c r="AF7" s="14" t="s">
        <v>67</v>
      </c>
      <c r="AG7" s="14" t="s">
        <v>68</v>
      </c>
      <c r="AH7" s="14" t="s">
        <v>77</v>
      </c>
      <c r="AI7" s="14" t="s">
        <v>69</v>
      </c>
      <c r="AJ7" s="14" t="s">
        <v>70</v>
      </c>
      <c r="AK7" s="14" t="s">
        <v>71</v>
      </c>
      <c r="AL7" s="14" t="s">
        <v>72</v>
      </c>
      <c r="AM7" s="14" t="s">
        <v>75</v>
      </c>
      <c r="AN7" s="150" t="s">
        <v>76</v>
      </c>
      <c r="AO7" s="150" t="s">
        <v>80</v>
      </c>
    </row>
    <row r="8" spans="1:41" x14ac:dyDescent="0.25">
      <c r="D8" s="7"/>
    </row>
    <row r="9" spans="1:41" ht="13" x14ac:dyDescent="0.3">
      <c r="A9" s="1">
        <v>1</v>
      </c>
      <c r="B9" s="3" t="s">
        <v>10</v>
      </c>
      <c r="C9" s="22">
        <v>155385.14234762001</v>
      </c>
      <c r="D9" s="22">
        <f>+D11+D34</f>
        <v>192718.65453652001</v>
      </c>
      <c r="E9" s="22">
        <f>+E11+E34</f>
        <v>223536.17395537</v>
      </c>
      <c r="F9" s="22">
        <f>+F11+F34</f>
        <v>210575.67465725</v>
      </c>
      <c r="G9" s="22">
        <v>225846.16399636</v>
      </c>
      <c r="H9" s="22">
        <f t="shared" ref="H9:Q9" si="0">+H11+H34</f>
        <v>218437.67647552001</v>
      </c>
      <c r="I9" s="22">
        <f t="shared" si="0"/>
        <v>252579.98851787994</v>
      </c>
      <c r="J9" s="22">
        <f t="shared" si="0"/>
        <v>278048.87665320002</v>
      </c>
      <c r="K9" s="22">
        <f t="shared" si="0"/>
        <v>290471.67148388998</v>
      </c>
      <c r="L9" s="22">
        <f t="shared" si="0"/>
        <v>319429.76851755002</v>
      </c>
      <c r="M9" s="22">
        <f t="shared" si="0"/>
        <v>328087.51366197999</v>
      </c>
      <c r="N9" s="22">
        <f t="shared" si="0"/>
        <v>327543.62209727999</v>
      </c>
      <c r="O9" s="22">
        <f t="shared" si="0"/>
        <v>363035.74480985006</v>
      </c>
      <c r="P9" s="22">
        <f t="shared" si="0"/>
        <v>434341.22114868002</v>
      </c>
      <c r="Q9" s="22">
        <f t="shared" si="0"/>
        <v>367840.40353073995</v>
      </c>
      <c r="R9" s="22">
        <f>+R11+R34</f>
        <v>487532.73510256998</v>
      </c>
      <c r="S9" s="22">
        <f>+S11+S34</f>
        <v>521620.68019422004</v>
      </c>
      <c r="T9" s="22">
        <f>+T11+T34</f>
        <v>526049.00427461998</v>
      </c>
      <c r="U9" s="22">
        <f>+U11+U34</f>
        <v>593498.73073401989</v>
      </c>
      <c r="V9" s="22">
        <f>+V11+V34</f>
        <v>494274.69437648996</v>
      </c>
      <c r="W9" s="41">
        <f t="shared" ref="W9:AN9" si="1">+D9/C9-1</f>
        <v>0.24026436263371509</v>
      </c>
      <c r="X9" s="41">
        <f t="shared" si="1"/>
        <v>0.15990937407156958</v>
      </c>
      <c r="Y9" s="41">
        <f t="shared" si="1"/>
        <v>-5.7979427082381907E-2</v>
      </c>
      <c r="Z9" s="41">
        <f t="shared" si="1"/>
        <v>7.2517822222179618E-2</v>
      </c>
      <c r="AA9" s="41">
        <f t="shared" si="1"/>
        <v>-3.2803247085300913E-2</v>
      </c>
      <c r="AB9" s="41">
        <f t="shared" si="1"/>
        <v>0.15630230367418418</v>
      </c>
      <c r="AC9" s="41">
        <f t="shared" si="1"/>
        <v>0.10083494058563214</v>
      </c>
      <c r="AD9" s="41">
        <f t="shared" si="1"/>
        <v>4.4678457184290199E-2</v>
      </c>
      <c r="AE9" s="41">
        <f t="shared" si="1"/>
        <v>9.9693360408352527E-2</v>
      </c>
      <c r="AF9" s="41">
        <f t="shared" si="1"/>
        <v>2.7103751740515269E-2</v>
      </c>
      <c r="AG9" s="41">
        <f t="shared" si="1"/>
        <v>-1.6577636821020203E-3</v>
      </c>
      <c r="AH9" s="41">
        <f t="shared" si="1"/>
        <v>0.10835846073054944</v>
      </c>
      <c r="AI9" s="41">
        <f t="shared" si="1"/>
        <v>0.19641447807344203</v>
      </c>
      <c r="AJ9" s="41">
        <f t="shared" si="1"/>
        <v>-0.15310731374302622</v>
      </c>
      <c r="AK9" s="41">
        <f t="shared" si="1"/>
        <v>0.32539201899235493</v>
      </c>
      <c r="AL9" s="41">
        <f t="shared" si="1"/>
        <v>6.9919294925864683E-2</v>
      </c>
      <c r="AM9" s="41">
        <f t="shared" si="1"/>
        <v>8.4895485331430987E-3</v>
      </c>
      <c r="AN9" s="41">
        <f t="shared" si="1"/>
        <v>0.12821947368269959</v>
      </c>
      <c r="AO9" s="41">
        <f>+V9/U9-1</f>
        <v>-0.16718491753944087</v>
      </c>
    </row>
    <row r="10" spans="1:41" ht="13" x14ac:dyDescent="0.3">
      <c r="B10" s="3"/>
      <c r="C10" s="3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K10" s="6"/>
      <c r="AL10" s="6"/>
      <c r="AM10" s="6"/>
      <c r="AN10" s="6"/>
      <c r="AO10" s="6"/>
    </row>
    <row r="11" spans="1:41" ht="13" x14ac:dyDescent="0.3">
      <c r="B11" s="3" t="s">
        <v>30</v>
      </c>
      <c r="C11" s="21">
        <v>155379.69893082001</v>
      </c>
      <c r="D11" s="21">
        <f>+D12+D30+D31+D32</f>
        <v>192718.65453652001</v>
      </c>
      <c r="E11" s="21">
        <f>+E12+E30+E31+E32</f>
        <v>223536.17395537</v>
      </c>
      <c r="F11" s="21">
        <f>+F12+F30+F31+F32</f>
        <v>210575.67465725</v>
      </c>
      <c r="G11" s="21">
        <v>225154.08599590001</v>
      </c>
      <c r="H11" s="21">
        <f t="shared" ref="H11:O11" si="2">+H12+H30+H31+H32</f>
        <v>218362.12975555001</v>
      </c>
      <c r="I11" s="21">
        <f t="shared" si="2"/>
        <v>252579.98851787994</v>
      </c>
      <c r="J11" s="21">
        <f t="shared" si="2"/>
        <v>277756.69375653</v>
      </c>
      <c r="K11" s="21">
        <f t="shared" si="2"/>
        <v>290471.67148388998</v>
      </c>
      <c r="L11" s="21">
        <f t="shared" si="2"/>
        <v>319369.16851755005</v>
      </c>
      <c r="M11" s="21">
        <f t="shared" si="2"/>
        <v>328087.51366197999</v>
      </c>
      <c r="N11" s="21">
        <f t="shared" si="2"/>
        <v>327064.47278827999</v>
      </c>
      <c r="O11" s="21">
        <f t="shared" si="2"/>
        <v>363035.74480985006</v>
      </c>
      <c r="P11" s="21">
        <f t="shared" ref="P11:V11" si="3">+P12+P30+P31+P32</f>
        <v>434341.22114868002</v>
      </c>
      <c r="Q11" s="21">
        <f t="shared" si="3"/>
        <v>367840.40353073995</v>
      </c>
      <c r="R11" s="21">
        <f t="shared" si="3"/>
        <v>487532.73510256998</v>
      </c>
      <c r="S11" s="21">
        <f t="shared" si="3"/>
        <v>521620.68019422004</v>
      </c>
      <c r="T11" s="21">
        <f t="shared" si="3"/>
        <v>526049.00427461998</v>
      </c>
      <c r="U11" s="21">
        <f t="shared" si="3"/>
        <v>593498.73073401989</v>
      </c>
      <c r="V11" s="21">
        <f t="shared" si="3"/>
        <v>494206.84788188996</v>
      </c>
      <c r="W11" s="29">
        <f t="shared" ref="W11:W71" si="4">+D11/C11-1</f>
        <v>0.24030781281359337</v>
      </c>
      <c r="X11" s="29">
        <f t="shared" ref="X11:X32" si="5">+E11/D11-1</f>
        <v>0.15990937407156958</v>
      </c>
      <c r="Y11" s="29">
        <f t="shared" ref="Y11:Y32" si="6">+F11/E11-1</f>
        <v>-5.7979427082381907E-2</v>
      </c>
      <c r="Z11" s="29">
        <f t="shared" ref="Z11:Z32" si="7">+G11/F11-1</f>
        <v>6.9231222278542059E-2</v>
      </c>
      <c r="AA11" s="29">
        <f t="shared" ref="AA11:AA32" si="8">+H11/G11-1</f>
        <v>-3.0165813826153132E-2</v>
      </c>
      <c r="AB11" s="29">
        <f t="shared" ref="AB11:AB32" si="9">+I11/H11-1</f>
        <v>0.15670234944418171</v>
      </c>
      <c r="AC11" s="29">
        <f t="shared" ref="AC11:AC32" si="10">+J11/I11-1</f>
        <v>9.9678147055057842E-2</v>
      </c>
      <c r="AD11" s="29">
        <f t="shared" ref="AD11:AD32" si="11">+K11/J11-1</f>
        <v>4.5777394436101071E-2</v>
      </c>
      <c r="AE11" s="29">
        <f t="shared" ref="AE11:AE32" si="12">+L11/K11-1</f>
        <v>9.9484734211896297E-2</v>
      </c>
      <c r="AF11" s="29">
        <f t="shared" ref="AF11:AF32" si="13">+M11/L11-1</f>
        <v>2.7298643713476789E-2</v>
      </c>
      <c r="AG11" s="29">
        <f t="shared" ref="AG11:AG32" si="14">+N11/M11-1</f>
        <v>-3.118195088503195E-3</v>
      </c>
      <c r="AH11" s="29">
        <f t="shared" ref="AH11:AH32" si="15">+O11/N11-1</f>
        <v>0.10998220538876913</v>
      </c>
      <c r="AI11" s="29">
        <f t="shared" ref="AI11:AI32" si="16">+P11/O11-1</f>
        <v>0.19641447807344203</v>
      </c>
      <c r="AJ11" s="29">
        <f t="shared" ref="AJ11:AJ27" si="17">+Q11/P11-1</f>
        <v>-0.15310731374302622</v>
      </c>
      <c r="AK11" s="29">
        <f t="shared" ref="AK11:AK27" si="18">+R11/Q11-1</f>
        <v>0.32539201899235493</v>
      </c>
      <c r="AL11" s="29">
        <f t="shared" ref="AL11:AL27" si="19">+S11/R11-1</f>
        <v>6.9919294925864683E-2</v>
      </c>
      <c r="AM11" s="29">
        <f t="shared" ref="AM11:AM27" si="20">+T11/S11-1</f>
        <v>8.4895485331430987E-3</v>
      </c>
      <c r="AN11" s="29">
        <f t="shared" ref="AN11:AO27" si="21">+U11/T11-1</f>
        <v>0.12821947368269959</v>
      </c>
      <c r="AO11" s="29">
        <f t="shared" si="21"/>
        <v>-0.16729923369731381</v>
      </c>
    </row>
    <row r="12" spans="1:41" x14ac:dyDescent="0.25">
      <c r="B12" s="23" t="s">
        <v>29</v>
      </c>
      <c r="C12" s="6">
        <v>150750.00342744999</v>
      </c>
      <c r="D12" s="6">
        <f>(+D13+D14+D17+D21+D24+D27)</f>
        <v>187977.97312860002</v>
      </c>
      <c r="E12" s="6">
        <f>(+E13+E14+E17+E21+E24+E27)</f>
        <v>217131.49834915</v>
      </c>
      <c r="F12" s="6">
        <f>(+F13+F14+F17+F21+F24+F27)</f>
        <v>203524.43331757997</v>
      </c>
      <c r="G12" s="6">
        <v>197428.49015595001</v>
      </c>
      <c r="H12" s="6">
        <f t="shared" ref="H12:O12" si="22">(+H13+H14+H17+H21+H24+H27)</f>
        <v>205328.55775854999</v>
      </c>
      <c r="I12" s="6">
        <f t="shared" si="22"/>
        <v>222141.65764556997</v>
      </c>
      <c r="J12" s="6">
        <f t="shared" si="22"/>
        <v>251521.23246092</v>
      </c>
      <c r="K12" s="6">
        <f t="shared" si="22"/>
        <v>264871.58682279999</v>
      </c>
      <c r="L12" s="6">
        <f t="shared" si="22"/>
        <v>285723.08809475001</v>
      </c>
      <c r="M12" s="6">
        <f t="shared" si="22"/>
        <v>311661.49729159998</v>
      </c>
      <c r="N12" s="6">
        <f t="shared" si="22"/>
        <v>309435.44071663002</v>
      </c>
      <c r="O12" s="6">
        <f t="shared" si="22"/>
        <v>338750.29210810002</v>
      </c>
      <c r="P12" s="6">
        <f>(+P13+P14+P17+P21+P24+P27)</f>
        <v>414811.52129309002</v>
      </c>
      <c r="Q12" s="6">
        <f>(+Q13+Q14+Q17+Q21+Q24+Q27)</f>
        <v>346955.94219933997</v>
      </c>
      <c r="R12" s="6">
        <f>(+R13+R14+R17+R21+R24+R27)</f>
        <v>431358.39746164996</v>
      </c>
      <c r="S12" s="6">
        <f>(+S13+S14+S17+S21+S24+S27)+S28+S29</f>
        <v>467216.90087703004</v>
      </c>
      <c r="T12" s="6">
        <f>+T13+T14+T17+T21+T24+T27++T28+T29</f>
        <v>468962.04828047997</v>
      </c>
      <c r="U12" s="6">
        <f>+U13+U14+U17+U21+U24+U27++U28+U29</f>
        <v>533906.76091975998</v>
      </c>
      <c r="V12" s="6">
        <f>+V13+V14+V17+V21+V24+V27++V28+V29</f>
        <v>429384.50829964998</v>
      </c>
      <c r="W12" s="31">
        <f t="shared" si="4"/>
        <v>0.24695170052892479</v>
      </c>
      <c r="X12" s="31">
        <f t="shared" si="5"/>
        <v>0.15509011367308112</v>
      </c>
      <c r="Y12" s="31">
        <f t="shared" si="6"/>
        <v>-6.2667393422992546E-2</v>
      </c>
      <c r="Z12" s="31">
        <f t="shared" si="7"/>
        <v>-2.9951898463796867E-2</v>
      </c>
      <c r="AA12" s="31">
        <f t="shared" si="8"/>
        <v>4.0014830667851831E-2</v>
      </c>
      <c r="AB12" s="31">
        <f t="shared" si="9"/>
        <v>8.1883884397565554E-2</v>
      </c>
      <c r="AC12" s="31">
        <f t="shared" si="10"/>
        <v>0.13225603485063364</v>
      </c>
      <c r="AD12" s="31">
        <f t="shared" si="11"/>
        <v>5.3078438870779232E-2</v>
      </c>
      <c r="AE12" s="31">
        <f t="shared" si="12"/>
        <v>7.8723057924290574E-2</v>
      </c>
      <c r="AF12" s="31">
        <f t="shared" si="13"/>
        <v>9.0781635358247348E-2</v>
      </c>
      <c r="AG12" s="31">
        <f t="shared" si="14"/>
        <v>-7.1425459811841341E-3</v>
      </c>
      <c r="AH12" s="31">
        <f t="shared" si="15"/>
        <v>9.4736567096448177E-2</v>
      </c>
      <c r="AI12" s="31">
        <f>+P12/O12-1</f>
        <v>0.22453480028503647</v>
      </c>
      <c r="AJ12" s="31">
        <f t="shared" si="17"/>
        <v>-0.1635817126829654</v>
      </c>
      <c r="AK12" s="31">
        <f t="shared" si="18"/>
        <v>0.24326562827339449</v>
      </c>
      <c r="AL12" s="31">
        <f t="shared" si="19"/>
        <v>8.3129257773561838E-2</v>
      </c>
      <c r="AM12" s="31">
        <f t="shared" si="20"/>
        <v>3.7351975071406862E-3</v>
      </c>
      <c r="AN12" s="31">
        <f t="shared" si="21"/>
        <v>0.13848607339849694</v>
      </c>
      <c r="AO12" s="31">
        <f t="shared" si="21"/>
        <v>-0.1957687376725662</v>
      </c>
    </row>
    <row r="13" spans="1:41" x14ac:dyDescent="0.25">
      <c r="B13" s="24" t="s">
        <v>22</v>
      </c>
      <c r="C13" s="6">
        <v>45170.104951989997</v>
      </c>
      <c r="D13" s="6">
        <v>62144.120488230001</v>
      </c>
      <c r="E13" s="6">
        <v>70281.222113070005</v>
      </c>
      <c r="F13" s="6">
        <v>74112.79535031</v>
      </c>
      <c r="G13" s="6">
        <v>68232.962963479993</v>
      </c>
      <c r="H13" s="6">
        <v>54517.100826599999</v>
      </c>
      <c r="I13" s="6">
        <v>54030.648832749997</v>
      </c>
      <c r="J13" s="6">
        <v>66541.160617849993</v>
      </c>
      <c r="K13" s="6">
        <v>67396.723972580003</v>
      </c>
      <c r="L13" s="6">
        <v>76110.550455150005</v>
      </c>
      <c r="M13" s="6">
        <v>94895.879407989996</v>
      </c>
      <c r="N13" s="6">
        <v>94726.504396350007</v>
      </c>
      <c r="O13" s="6">
        <v>107952.05194609</v>
      </c>
      <c r="P13" s="6">
        <v>137766.68257780001</v>
      </c>
      <c r="Q13" s="6">
        <v>127528.00475735001</v>
      </c>
      <c r="R13" s="6">
        <v>140137.63983243</v>
      </c>
      <c r="S13" s="6">
        <v>159539.2201947</v>
      </c>
      <c r="T13" s="6">
        <v>171731.61961038999</v>
      </c>
      <c r="U13" s="6">
        <v>184378.39506032999</v>
      </c>
      <c r="V13" s="6">
        <v>140814.07480996</v>
      </c>
      <c r="W13" s="31">
        <f t="shared" si="4"/>
        <v>0.37577985604153885</v>
      </c>
      <c r="X13" s="31">
        <f t="shared" si="5"/>
        <v>0.13093920327315844</v>
      </c>
      <c r="Y13" s="31">
        <f t="shared" si="6"/>
        <v>5.45177377689261E-2</v>
      </c>
      <c r="Z13" s="31">
        <f t="shared" si="7"/>
        <v>-7.933626520275916E-2</v>
      </c>
      <c r="AA13" s="31">
        <f t="shared" si="8"/>
        <v>-0.20101519179551197</v>
      </c>
      <c r="AB13" s="31">
        <f t="shared" si="9"/>
        <v>-8.9229248524648197E-3</v>
      </c>
      <c r="AC13" s="31">
        <f t="shared" si="10"/>
        <v>0.23154472610213972</v>
      </c>
      <c r="AD13" s="31">
        <f t="shared" si="11"/>
        <v>1.2857656025021313E-2</v>
      </c>
      <c r="AE13" s="31">
        <f t="shared" si="12"/>
        <v>0.12929154369751239</v>
      </c>
      <c r="AF13" s="31">
        <f t="shared" si="13"/>
        <v>0.2468163591052952</v>
      </c>
      <c r="AG13" s="31">
        <f t="shared" si="14"/>
        <v>-1.7848510672606732E-3</v>
      </c>
      <c r="AH13" s="31">
        <f t="shared" si="15"/>
        <v>0.1396182370923591</v>
      </c>
      <c r="AI13" s="31">
        <f t="shared" si="16"/>
        <v>0.27618401034747442</v>
      </c>
      <c r="AJ13" s="31">
        <f t="shared" si="17"/>
        <v>-7.4318969063278284E-2</v>
      </c>
      <c r="AK13" s="31">
        <f t="shared" si="18"/>
        <v>9.8877380690402861E-2</v>
      </c>
      <c r="AL13" s="31">
        <f t="shared" si="19"/>
        <v>0.13844660424900468</v>
      </c>
      <c r="AM13" s="31">
        <f t="shared" si="20"/>
        <v>7.6422583743423811E-2</v>
      </c>
      <c r="AN13" s="31">
        <f t="shared" si="21"/>
        <v>7.3642672669319342E-2</v>
      </c>
      <c r="AO13" s="31">
        <f t="shared" si="21"/>
        <v>-0.23627670821256153</v>
      </c>
    </row>
    <row r="14" spans="1:41" x14ac:dyDescent="0.25">
      <c r="B14" s="24" t="s">
        <v>23</v>
      </c>
      <c r="C14" s="6">
        <v>10459.01973045</v>
      </c>
      <c r="D14" s="6">
        <v>13603.724485250001</v>
      </c>
      <c r="E14" s="6">
        <f>(+E15+E16)</f>
        <v>16367.45837961</v>
      </c>
      <c r="F14" s="6">
        <f>(+F15+F16)</f>
        <v>11137.3718494</v>
      </c>
      <c r="G14" s="6">
        <v>11826.524567230001</v>
      </c>
      <c r="H14" s="6">
        <f>(+H15+H16)</f>
        <v>13578.698036199999</v>
      </c>
      <c r="I14" s="6">
        <f>(+I15+I16)</f>
        <v>14991.621777560002</v>
      </c>
      <c r="J14" s="6">
        <f>(+J15+J16)</f>
        <v>15458.4069681</v>
      </c>
      <c r="K14" s="6">
        <f>(+K15+K16)</f>
        <v>16155.378061650001</v>
      </c>
      <c r="L14" s="6">
        <v>16777.005804299999</v>
      </c>
      <c r="M14" s="6">
        <f t="shared" ref="M14:S14" si="23">(+M15+M16)</f>
        <v>16580.171935599999</v>
      </c>
      <c r="N14" s="6">
        <f t="shared" si="23"/>
        <v>17593.654069420001</v>
      </c>
      <c r="O14" s="6">
        <f t="shared" si="23"/>
        <v>17726.67041468</v>
      </c>
      <c r="P14" s="6">
        <f t="shared" si="23"/>
        <v>15539.39251555</v>
      </c>
      <c r="Q14" s="6">
        <f t="shared" si="23"/>
        <v>13094.00634084</v>
      </c>
      <c r="R14" s="6">
        <f t="shared" si="23"/>
        <v>17813.16374987</v>
      </c>
      <c r="S14" s="6">
        <f t="shared" si="23"/>
        <v>16972.47288103</v>
      </c>
      <c r="T14" s="6">
        <f>+T15+T16</f>
        <v>15617.59171574</v>
      </c>
      <c r="U14" s="6">
        <f>+U15+U16</f>
        <v>18160.486864179999</v>
      </c>
      <c r="V14" s="6">
        <f>+V15+V16</f>
        <v>18975.970840049999</v>
      </c>
      <c r="W14" s="31">
        <f t="shared" si="4"/>
        <v>0.30066916745979788</v>
      </c>
      <c r="X14" s="31">
        <f t="shared" si="5"/>
        <v>0.2031600902647368</v>
      </c>
      <c r="Y14" s="31">
        <f t="shared" si="6"/>
        <v>-0.31954176445167903</v>
      </c>
      <c r="Z14" s="31">
        <f t="shared" si="7"/>
        <v>6.1877499211551168E-2</v>
      </c>
      <c r="AA14" s="31">
        <f t="shared" si="8"/>
        <v>0.14815624480458767</v>
      </c>
      <c r="AB14" s="31">
        <f t="shared" si="9"/>
        <v>0.10405443420225069</v>
      </c>
      <c r="AC14" s="31">
        <f t="shared" si="10"/>
        <v>3.1136403883847974E-2</v>
      </c>
      <c r="AD14" s="31">
        <f t="shared" si="11"/>
        <v>4.5086864059684206E-2</v>
      </c>
      <c r="AE14" s="31">
        <f t="shared" si="12"/>
        <v>3.8478068435032986E-2</v>
      </c>
      <c r="AF14" s="31">
        <f t="shared" si="13"/>
        <v>-1.1732359814142224E-2</v>
      </c>
      <c r="AG14" s="31">
        <f t="shared" si="14"/>
        <v>6.1126153441383169E-2</v>
      </c>
      <c r="AH14" s="31">
        <f t="shared" si="15"/>
        <v>7.5604729259284298E-3</v>
      </c>
      <c r="AI14" s="31">
        <f t="shared" si="16"/>
        <v>-0.12338909947344923</v>
      </c>
      <c r="AJ14" s="31">
        <f t="shared" si="17"/>
        <v>-0.157366909437608</v>
      </c>
      <c r="AK14" s="31">
        <f t="shared" si="18"/>
        <v>0.36040592055550036</v>
      </c>
      <c r="AL14" s="31">
        <f t="shared" si="19"/>
        <v>-4.7194921724454164E-2</v>
      </c>
      <c r="AM14" s="31">
        <f t="shared" si="20"/>
        <v>-7.9828153197660456E-2</v>
      </c>
      <c r="AN14" s="31">
        <f t="shared" si="21"/>
        <v>0.16282248855802606</v>
      </c>
      <c r="AO14" s="31">
        <f t="shared" si="21"/>
        <v>4.49043014082664E-2</v>
      </c>
    </row>
    <row r="15" spans="1:41" x14ac:dyDescent="0.25">
      <c r="B15" s="25" t="s">
        <v>34</v>
      </c>
      <c r="C15" s="6">
        <v>8512.5657743800002</v>
      </c>
      <c r="D15" s="6">
        <v>11030.551897429999</v>
      </c>
      <c r="E15" s="6">
        <v>13168.10116509</v>
      </c>
      <c r="F15" s="6">
        <v>9209.8292467400006</v>
      </c>
      <c r="G15" s="6">
        <v>9927.6746101600002</v>
      </c>
      <c r="H15" s="6">
        <v>11622.15427619</v>
      </c>
      <c r="I15" s="6">
        <v>12886.166235250001</v>
      </c>
      <c r="J15" s="6">
        <v>13239.741188649999</v>
      </c>
      <c r="K15" s="6">
        <v>13785.71265784</v>
      </c>
      <c r="L15" s="6">
        <v>14485.744824220001</v>
      </c>
      <c r="M15" s="6">
        <v>14318.94254498</v>
      </c>
      <c r="N15" s="6">
        <v>15237.091881869999</v>
      </c>
      <c r="O15" s="6">
        <v>15271.83528655</v>
      </c>
      <c r="P15" s="6">
        <v>13412.52636107</v>
      </c>
      <c r="Q15" s="6">
        <v>11232.482986479999</v>
      </c>
      <c r="R15" s="6">
        <v>14916.2471793</v>
      </c>
      <c r="S15" s="6">
        <v>13861.056044679999</v>
      </c>
      <c r="T15" s="6">
        <v>13072.238104599999</v>
      </c>
      <c r="U15" s="6">
        <v>15075.27068351</v>
      </c>
      <c r="V15" s="6">
        <v>15684.81143867</v>
      </c>
      <c r="W15" s="31">
        <f t="shared" si="4"/>
        <v>0.29579637794145475</v>
      </c>
      <c r="X15" s="31">
        <f t="shared" si="5"/>
        <v>0.19378443504336595</v>
      </c>
      <c r="Y15" s="31">
        <f t="shared" si="6"/>
        <v>-0.30059549731010482</v>
      </c>
      <c r="Z15" s="31">
        <f t="shared" si="7"/>
        <v>7.7943395494991963E-2</v>
      </c>
      <c r="AA15" s="31">
        <f t="shared" si="8"/>
        <v>0.17068243396050331</v>
      </c>
      <c r="AB15" s="31">
        <f t="shared" si="9"/>
        <v>0.10875883498204364</v>
      </c>
      <c r="AC15" s="31">
        <f t="shared" si="10"/>
        <v>2.7438335572049111E-2</v>
      </c>
      <c r="AD15" s="31">
        <f t="shared" si="11"/>
        <v>4.12373218940294E-2</v>
      </c>
      <c r="AE15" s="31">
        <f t="shared" si="12"/>
        <v>5.0779541381336557E-2</v>
      </c>
      <c r="AF15" s="31">
        <f t="shared" si="13"/>
        <v>-1.1514925967845979E-2</v>
      </c>
      <c r="AG15" s="31">
        <f t="shared" si="14"/>
        <v>6.4121308819127032E-2</v>
      </c>
      <c r="AH15" s="31">
        <f t="shared" si="15"/>
        <v>2.280186071552226E-3</v>
      </c>
      <c r="AI15" s="31">
        <f t="shared" si="16"/>
        <v>-0.12174757588680285</v>
      </c>
      <c r="AJ15" s="31">
        <f t="shared" si="17"/>
        <v>-0.16253786318121244</v>
      </c>
      <c r="AK15" s="31">
        <f t="shared" si="18"/>
        <v>0.32795635633314291</v>
      </c>
      <c r="AL15" s="31">
        <f t="shared" si="19"/>
        <v>-7.0741059861514022E-2</v>
      </c>
      <c r="AM15" s="31">
        <f t="shared" si="20"/>
        <v>-5.6908935187716447E-2</v>
      </c>
      <c r="AN15" s="31">
        <f t="shared" si="21"/>
        <v>0.15322797541494837</v>
      </c>
      <c r="AO15" s="31">
        <f t="shared" si="21"/>
        <v>4.0433154930129556E-2</v>
      </c>
    </row>
    <row r="16" spans="1:41" x14ac:dyDescent="0.25">
      <c r="B16" s="25" t="s">
        <v>35</v>
      </c>
      <c r="C16" s="6">
        <v>1946.45395607</v>
      </c>
      <c r="D16" s="6">
        <v>2573.17258782</v>
      </c>
      <c r="E16" s="6">
        <v>3199.3572145200001</v>
      </c>
      <c r="F16" s="6">
        <v>1927.5426026600001</v>
      </c>
      <c r="G16" s="6">
        <v>1898.8499570700001</v>
      </c>
      <c r="H16" s="6">
        <v>1956.5437600099999</v>
      </c>
      <c r="I16" s="6">
        <v>2105.4555423100001</v>
      </c>
      <c r="J16" s="6">
        <v>2218.6657794500002</v>
      </c>
      <c r="K16" s="6">
        <v>2369.66540381</v>
      </c>
      <c r="L16" s="6">
        <v>2291.2609800800001</v>
      </c>
      <c r="M16" s="6">
        <v>2261.2293906199998</v>
      </c>
      <c r="N16" s="6">
        <v>2356.5621875500001</v>
      </c>
      <c r="O16" s="6">
        <v>2454.8351281300002</v>
      </c>
      <c r="P16" s="6">
        <v>2126.8661544800002</v>
      </c>
      <c r="Q16" s="6">
        <v>1861.52335436</v>
      </c>
      <c r="R16" s="6">
        <v>2896.9165705700002</v>
      </c>
      <c r="S16" s="6">
        <v>3111.4168363499998</v>
      </c>
      <c r="T16" s="6">
        <v>2545.3536111399999</v>
      </c>
      <c r="U16" s="6">
        <v>3085.2161806700001</v>
      </c>
      <c r="V16" s="6">
        <v>3291.15940138</v>
      </c>
      <c r="W16" s="31">
        <f t="shared" si="4"/>
        <v>0.32197968505526853</v>
      </c>
      <c r="X16" s="31">
        <f t="shared" si="5"/>
        <v>0.24335119597652244</v>
      </c>
      <c r="Y16" s="31">
        <f t="shared" si="6"/>
        <v>-0.39752191661749481</v>
      </c>
      <c r="Z16" s="31">
        <f t="shared" si="7"/>
        <v>-1.4885609039408165E-2</v>
      </c>
      <c r="AA16" s="31">
        <f t="shared" si="8"/>
        <v>3.0383550172138785E-2</v>
      </c>
      <c r="AB16" s="31">
        <f t="shared" si="9"/>
        <v>7.6109609886384044E-2</v>
      </c>
      <c r="AC16" s="31">
        <f t="shared" si="10"/>
        <v>5.3769949003906081E-2</v>
      </c>
      <c r="AD16" s="31">
        <f t="shared" si="11"/>
        <v>6.8058752137706957E-2</v>
      </c>
      <c r="AE16" s="31">
        <f t="shared" si="12"/>
        <v>-3.3086706504614316E-2</v>
      </c>
      <c r="AF16" s="31">
        <f t="shared" si="13"/>
        <v>-1.3107013876241913E-2</v>
      </c>
      <c r="AG16" s="31">
        <f t="shared" si="14"/>
        <v>4.2159719542589791E-2</v>
      </c>
      <c r="AH16" s="31">
        <f t="shared" si="15"/>
        <v>4.1701823571297147E-2</v>
      </c>
      <c r="AI16" s="31">
        <f t="shared" si="16"/>
        <v>-0.13360122229464522</v>
      </c>
      <c r="AJ16" s="31">
        <f t="shared" si="17"/>
        <v>-0.12475763910252935</v>
      </c>
      <c r="AK16" s="31">
        <f t="shared" si="18"/>
        <v>0.55620748124644015</v>
      </c>
      <c r="AL16" s="31">
        <f t="shared" si="19"/>
        <v>7.404433664370047E-2</v>
      </c>
      <c r="AM16" s="31">
        <f t="shared" si="20"/>
        <v>-0.18193101567003411</v>
      </c>
      <c r="AN16" s="31">
        <f t="shared" si="21"/>
        <v>0.21209727684485036</v>
      </c>
      <c r="AO16" s="31">
        <f t="shared" si="21"/>
        <v>6.6751633807805355E-2</v>
      </c>
    </row>
    <row r="17" spans="2:41" x14ac:dyDescent="0.25">
      <c r="B17" s="24" t="s">
        <v>24</v>
      </c>
      <c r="C17" s="6">
        <v>107.984269</v>
      </c>
      <c r="D17" s="6">
        <v>175.63502249000001</v>
      </c>
      <c r="E17" s="6">
        <f>(+E18+E19)+E20</f>
        <v>424.73142646999997</v>
      </c>
      <c r="F17" s="6">
        <f>(+F18+F19)+F20</f>
        <v>371.28103242999998</v>
      </c>
      <c r="G17" s="6">
        <v>348.37124739000001</v>
      </c>
      <c r="H17" s="6">
        <f t="shared" ref="H17:Q17" si="24">(+H18+H19)+H20</f>
        <v>384.11281558000002</v>
      </c>
      <c r="I17" s="6">
        <f t="shared" si="24"/>
        <v>384.60799988000002</v>
      </c>
      <c r="J17" s="6">
        <f t="shared" si="24"/>
        <v>1006.27941859</v>
      </c>
      <c r="K17" s="6">
        <f t="shared" si="24"/>
        <v>455.52583717000005</v>
      </c>
      <c r="L17" s="6">
        <f t="shared" si="24"/>
        <v>413.62442766000004</v>
      </c>
      <c r="M17" s="6">
        <f t="shared" si="24"/>
        <v>451.35879267999997</v>
      </c>
      <c r="N17" s="6">
        <f t="shared" si="24"/>
        <v>506.22357929999998</v>
      </c>
      <c r="O17" s="6">
        <f t="shared" si="24"/>
        <v>483.74547141999994</v>
      </c>
      <c r="P17" s="6">
        <f t="shared" si="24"/>
        <v>535.34711916000003</v>
      </c>
      <c r="Q17" s="6">
        <f t="shared" si="24"/>
        <v>500.78187133000006</v>
      </c>
      <c r="R17" s="6">
        <f>(+R18+R19)+R20</f>
        <v>520.00385424000001</v>
      </c>
      <c r="S17" s="6">
        <f>(+S18+S19)+S20</f>
        <v>550.23344975999998</v>
      </c>
      <c r="T17" s="6">
        <f>+T18+T19+T20</f>
        <v>439.43881362999997</v>
      </c>
      <c r="U17" s="6">
        <f>+U18+U19+U20</f>
        <v>446.86900537999998</v>
      </c>
      <c r="V17" s="6">
        <f>+V18+V19+V20</f>
        <v>435.87711550999995</v>
      </c>
      <c r="W17" s="31">
        <f t="shared" si="4"/>
        <v>0.62648711813755042</v>
      </c>
      <c r="X17" s="31">
        <f t="shared" si="5"/>
        <v>1.4182615770392979</v>
      </c>
      <c r="Y17" s="31">
        <f t="shared" si="6"/>
        <v>-0.12584515933806317</v>
      </c>
      <c r="Z17" s="31">
        <f t="shared" si="7"/>
        <v>-6.1704700857077355E-2</v>
      </c>
      <c r="AA17" s="31">
        <f t="shared" si="8"/>
        <v>0.10259620579418116</v>
      </c>
      <c r="AB17" s="31">
        <f t="shared" si="9"/>
        <v>1.2891637037735215E-3</v>
      </c>
      <c r="AC17" s="31">
        <f t="shared" si="10"/>
        <v>1.6163767235834023</v>
      </c>
      <c r="AD17" s="31">
        <f t="shared" si="11"/>
        <v>-0.54731675044265193</v>
      </c>
      <c r="AE17" s="31">
        <f t="shared" si="12"/>
        <v>-9.1984704468832557E-2</v>
      </c>
      <c r="AF17" s="31">
        <f t="shared" si="13"/>
        <v>9.1228569921449676E-2</v>
      </c>
      <c r="AG17" s="31">
        <f t="shared" si="14"/>
        <v>0.12155470882539676</v>
      </c>
      <c r="AH17" s="31">
        <f t="shared" si="15"/>
        <v>-4.4403518127469455E-2</v>
      </c>
      <c r="AI17" s="31">
        <f t="shared" si="16"/>
        <v>0.10667107143872001</v>
      </c>
      <c r="AJ17" s="31">
        <f t="shared" si="17"/>
        <v>-6.4566048070335058E-2</v>
      </c>
      <c r="AK17" s="31">
        <f t="shared" si="18"/>
        <v>3.8383943210542615E-2</v>
      </c>
      <c r="AL17" s="31">
        <f t="shared" si="19"/>
        <v>5.8133406653651409E-2</v>
      </c>
      <c r="AM17" s="31">
        <f t="shared" si="20"/>
        <v>-0.20135932517066391</v>
      </c>
      <c r="AN17" s="31">
        <f t="shared" si="21"/>
        <v>1.690836475873092E-2</v>
      </c>
      <c r="AO17" s="31">
        <f t="shared" si="21"/>
        <v>-2.4597566037619756E-2</v>
      </c>
    </row>
    <row r="18" spans="2:41" x14ac:dyDescent="0.25">
      <c r="B18" s="25" t="s">
        <v>36</v>
      </c>
      <c r="C18" s="43">
        <v>107.984269</v>
      </c>
      <c r="D18" s="6">
        <v>14.440755040000001</v>
      </c>
      <c r="E18" s="6">
        <v>15.25559223</v>
      </c>
      <c r="F18" s="6">
        <v>13.730102860000001</v>
      </c>
      <c r="G18" s="6">
        <v>14.42088</v>
      </c>
      <c r="H18" s="43">
        <v>15.4714455</v>
      </c>
      <c r="I18" s="43">
        <v>16.506411</v>
      </c>
      <c r="J18" s="43">
        <v>17.936349310000001</v>
      </c>
      <c r="K18" s="43">
        <v>17.000373</v>
      </c>
      <c r="L18" s="43">
        <v>14.657457000000001</v>
      </c>
      <c r="M18" s="43">
        <v>16.554534</v>
      </c>
      <c r="N18" s="43">
        <v>18.641412840000001</v>
      </c>
      <c r="O18" s="43">
        <v>16.681831500000001</v>
      </c>
      <c r="P18" s="43">
        <v>19.448389500000001</v>
      </c>
      <c r="Q18" s="43">
        <v>17.690514</v>
      </c>
      <c r="R18" s="43">
        <v>16.383731999999998</v>
      </c>
      <c r="S18" s="43">
        <v>17.739374999999999</v>
      </c>
      <c r="T18" s="43">
        <v>16.3623525</v>
      </c>
      <c r="U18" s="43">
        <v>16.388726999999999</v>
      </c>
      <c r="V18" s="43">
        <v>15.6224025</v>
      </c>
      <c r="W18" s="31">
        <f t="shared" si="4"/>
        <v>-0.86626982639480565</v>
      </c>
      <c r="X18" s="31">
        <f t="shared" si="5"/>
        <v>5.642621786346691E-2</v>
      </c>
      <c r="Y18" s="31">
        <f t="shared" si="6"/>
        <v>-9.9995421154488895E-2</v>
      </c>
      <c r="Z18" s="31">
        <f t="shared" si="7"/>
        <v>5.0311140931976972E-2</v>
      </c>
      <c r="AA18" s="31">
        <f t="shared" si="8"/>
        <v>7.2850304558390366E-2</v>
      </c>
      <c r="AB18" s="31">
        <f t="shared" si="9"/>
        <v>6.6895203812727067E-2</v>
      </c>
      <c r="AC18" s="31">
        <f t="shared" si="10"/>
        <v>8.6629268470293175E-2</v>
      </c>
      <c r="AD18" s="31">
        <f t="shared" si="11"/>
        <v>-5.21832115233265E-2</v>
      </c>
      <c r="AE18" s="31">
        <f t="shared" si="12"/>
        <v>-0.13781556439967513</v>
      </c>
      <c r="AF18" s="31">
        <f t="shared" si="13"/>
        <v>0.1294274306927865</v>
      </c>
      <c r="AG18" s="31">
        <f t="shared" si="14"/>
        <v>0.12606086284277174</v>
      </c>
      <c r="AH18" s="31">
        <f t="shared" si="15"/>
        <v>-0.10511978661806187</v>
      </c>
      <c r="AI18" s="31">
        <f t="shared" si="16"/>
        <v>0.16584258149352493</v>
      </c>
      <c r="AJ18" s="31">
        <f t="shared" si="17"/>
        <v>-9.0386687288425693E-2</v>
      </c>
      <c r="AK18" s="31">
        <f t="shared" si="18"/>
        <v>-7.3869080344415194E-2</v>
      </c>
      <c r="AL18" s="31">
        <f t="shared" si="19"/>
        <v>8.2743235790234015E-2</v>
      </c>
      <c r="AM18" s="31">
        <f t="shared" si="20"/>
        <v>-7.7625198182010302E-2</v>
      </c>
      <c r="AN18" s="31">
        <f t="shared" si="21"/>
        <v>1.61190146710255E-3</v>
      </c>
      <c r="AO18" s="31">
        <f t="shared" si="21"/>
        <v>-4.6759244937083833E-2</v>
      </c>
    </row>
    <row r="19" spans="2:41" x14ac:dyDescent="0.25">
      <c r="B19" s="25" t="s">
        <v>55</v>
      </c>
      <c r="C19" s="43">
        <v>0</v>
      </c>
      <c r="D19" s="6">
        <v>161.19426745000001</v>
      </c>
      <c r="E19" s="6">
        <v>409.47583423999998</v>
      </c>
      <c r="F19" s="6">
        <v>357.55092956999999</v>
      </c>
      <c r="G19" s="6">
        <v>333.95036739</v>
      </c>
      <c r="H19" s="43">
        <v>368.64137008</v>
      </c>
      <c r="I19" s="43">
        <v>368.10158888000001</v>
      </c>
      <c r="J19" s="43">
        <v>853.53359981000006</v>
      </c>
      <c r="K19" s="43">
        <v>300.31075742000002</v>
      </c>
      <c r="L19" s="43">
        <v>256.29613791000003</v>
      </c>
      <c r="M19" s="43">
        <v>297.90069492999999</v>
      </c>
      <c r="N19" s="43">
        <v>338.90380821000002</v>
      </c>
      <c r="O19" s="43">
        <v>315.21909667</v>
      </c>
      <c r="P19" s="43">
        <v>363.17042641</v>
      </c>
      <c r="Q19" s="43">
        <v>342.18183633000001</v>
      </c>
      <c r="R19" s="43">
        <v>340.31630274000003</v>
      </c>
      <c r="S19" s="43">
        <v>366.14455576</v>
      </c>
      <c r="T19" s="43">
        <v>281.85060537999999</v>
      </c>
      <c r="U19" s="43">
        <v>278.68966988</v>
      </c>
      <c r="V19" s="43">
        <v>257.68275225999997</v>
      </c>
      <c r="W19" s="46" t="e">
        <f t="shared" si="4"/>
        <v>#DIV/0!</v>
      </c>
      <c r="X19" s="31">
        <f t="shared" si="5"/>
        <v>1.5402630051159423</v>
      </c>
      <c r="Y19" s="31">
        <f t="shared" si="6"/>
        <v>-0.12680822731913899</v>
      </c>
      <c r="Z19" s="31">
        <f t="shared" si="7"/>
        <v>-6.6006155286416512E-2</v>
      </c>
      <c r="AA19" s="31">
        <f t="shared" si="8"/>
        <v>0.10388071425442247</v>
      </c>
      <c r="AB19" s="31">
        <f t="shared" si="9"/>
        <v>-1.4642447750312648E-3</v>
      </c>
      <c r="AC19" s="31">
        <f t="shared" si="10"/>
        <v>1.3187446769979831</v>
      </c>
      <c r="AD19" s="31">
        <f t="shared" si="11"/>
        <v>-0.64815590448126426</v>
      </c>
      <c r="AE19" s="31">
        <f t="shared" si="12"/>
        <v>-0.14656357930076835</v>
      </c>
      <c r="AF19" s="31">
        <f t="shared" si="13"/>
        <v>0.16233001932557278</v>
      </c>
      <c r="AG19" s="31">
        <f t="shared" si="14"/>
        <v>0.13764020688046674</v>
      </c>
      <c r="AH19" s="31">
        <f t="shared" si="15"/>
        <v>-6.9886236053517292E-2</v>
      </c>
      <c r="AI19" s="31">
        <f t="shared" si="16"/>
        <v>0.1521206368730883</v>
      </c>
      <c r="AJ19" s="31">
        <f t="shared" si="17"/>
        <v>-5.7792674055196835E-2</v>
      </c>
      <c r="AK19" s="31">
        <f t="shared" si="18"/>
        <v>-5.4518778962915349E-3</v>
      </c>
      <c r="AL19" s="31">
        <f t="shared" si="19"/>
        <v>7.5894844919412119E-2</v>
      </c>
      <c r="AM19" s="31">
        <f t="shared" si="20"/>
        <v>-0.23022041173064145</v>
      </c>
      <c r="AN19" s="31">
        <f t="shared" si="21"/>
        <v>-1.1214932448835202E-2</v>
      </c>
      <c r="AO19" s="31">
        <f t="shared" si="21"/>
        <v>-7.5377453455828913E-2</v>
      </c>
    </row>
    <row r="20" spans="2:41" x14ac:dyDescent="0.25">
      <c r="B20" s="25" t="s">
        <v>48</v>
      </c>
      <c r="C20" s="43"/>
      <c r="D20" s="6"/>
      <c r="E20" s="6"/>
      <c r="F20" s="6"/>
      <c r="G20" s="6"/>
      <c r="H20" s="43"/>
      <c r="I20" s="43"/>
      <c r="J20" s="43">
        <v>134.80946947000001</v>
      </c>
      <c r="K20" s="43">
        <v>138.21470675</v>
      </c>
      <c r="L20" s="43">
        <v>142.67083274999999</v>
      </c>
      <c r="M20" s="43">
        <v>136.90356374999999</v>
      </c>
      <c r="N20" s="43">
        <v>148.67835825</v>
      </c>
      <c r="O20" s="43">
        <v>151.84454324999999</v>
      </c>
      <c r="P20" s="43">
        <v>152.72830325000001</v>
      </c>
      <c r="Q20" s="43">
        <v>140.90952100000001</v>
      </c>
      <c r="R20" s="43">
        <v>163.3038195</v>
      </c>
      <c r="S20" s="43">
        <v>166.34951899999999</v>
      </c>
      <c r="T20" s="43">
        <v>141.22585574999999</v>
      </c>
      <c r="U20" s="43">
        <v>151.79060849999999</v>
      </c>
      <c r="V20" s="43">
        <v>162.57196074999999</v>
      </c>
      <c r="W20" s="46" t="e">
        <f t="shared" si="4"/>
        <v>#DIV/0!</v>
      </c>
      <c r="X20" s="46" t="e">
        <f t="shared" si="5"/>
        <v>#DIV/0!</v>
      </c>
      <c r="Y20" s="46" t="e">
        <f t="shared" si="6"/>
        <v>#DIV/0!</v>
      </c>
      <c r="Z20" s="46" t="e">
        <f t="shared" si="7"/>
        <v>#DIV/0!</v>
      </c>
      <c r="AA20" s="46" t="e">
        <f t="shared" si="8"/>
        <v>#DIV/0!</v>
      </c>
      <c r="AB20" s="46" t="e">
        <f t="shared" si="9"/>
        <v>#DIV/0!</v>
      </c>
      <c r="AC20" s="46" t="e">
        <f t="shared" si="10"/>
        <v>#DIV/0!</v>
      </c>
      <c r="AD20" s="31">
        <f t="shared" si="11"/>
        <v>2.5259629708414444E-2</v>
      </c>
      <c r="AE20" s="31">
        <f t="shared" si="12"/>
        <v>3.2240606696508411E-2</v>
      </c>
      <c r="AF20" s="31">
        <f t="shared" si="13"/>
        <v>-4.0423602279702764E-2</v>
      </c>
      <c r="AG20" s="31">
        <f t="shared" si="14"/>
        <v>8.6007947327813916E-2</v>
      </c>
      <c r="AH20" s="31">
        <f t="shared" si="15"/>
        <v>2.1295533776853448E-2</v>
      </c>
      <c r="AI20" s="31">
        <f t="shared" si="16"/>
        <v>5.8201630502123791E-3</v>
      </c>
      <c r="AJ20" s="31">
        <f t="shared" si="17"/>
        <v>-7.7384361631084864E-2</v>
      </c>
      <c r="AK20" s="31">
        <f t="shared" si="18"/>
        <v>0.1589267945918289</v>
      </c>
      <c r="AL20" s="31">
        <f t="shared" si="19"/>
        <v>1.8650509885961286E-2</v>
      </c>
      <c r="AM20" s="31">
        <f t="shared" si="20"/>
        <v>-0.15102937117599957</v>
      </c>
      <c r="AN20" s="31">
        <f t="shared" si="21"/>
        <v>7.4807496785162853E-2</v>
      </c>
      <c r="AO20" s="31">
        <f t="shared" si="21"/>
        <v>7.1027795174824604E-2</v>
      </c>
    </row>
    <row r="21" spans="2:41" x14ac:dyDescent="0.25">
      <c r="B21" s="24" t="s">
        <v>25</v>
      </c>
      <c r="C21" s="44">
        <v>64544.863247890004</v>
      </c>
      <c r="D21" s="6">
        <f>0+(+D22+D23)</f>
        <v>70993.568003060005</v>
      </c>
      <c r="E21" s="6">
        <f>(+E22+E23)</f>
        <v>84426.991492589994</v>
      </c>
      <c r="F21" s="6">
        <f>(+F22+F23)</f>
        <v>71021.197199749993</v>
      </c>
      <c r="G21" s="6">
        <v>72475.294818890005</v>
      </c>
      <c r="H21" s="44">
        <f t="shared" ref="H21:O21" si="25">(+H22+H23)</f>
        <v>89451.093897090002</v>
      </c>
      <c r="I21" s="44">
        <f t="shared" si="25"/>
        <v>95599.350096809998</v>
      </c>
      <c r="J21" s="44">
        <f t="shared" si="25"/>
        <v>102945.25577336</v>
      </c>
      <c r="K21" s="44">
        <f t="shared" si="25"/>
        <v>107770.30685828</v>
      </c>
      <c r="L21" s="44">
        <f t="shared" si="25"/>
        <v>113195.6862</v>
      </c>
      <c r="M21" s="44">
        <f t="shared" si="25"/>
        <v>115967.30109848001</v>
      </c>
      <c r="N21" s="44">
        <f t="shared" si="25"/>
        <v>121137.93488660001</v>
      </c>
      <c r="O21" s="44">
        <f t="shared" si="25"/>
        <v>131865.34690732</v>
      </c>
      <c r="P21" s="44">
        <f>(+P22+P23)</f>
        <v>159654.88809821999</v>
      </c>
      <c r="Q21" s="44">
        <f>(+Q22+Q23)</f>
        <v>146150.08926584001</v>
      </c>
      <c r="R21" s="44">
        <f>(+R22+R23)</f>
        <v>177236.53990635002</v>
      </c>
      <c r="S21" s="44">
        <f>(+S22+S23)</f>
        <v>186664.03157845</v>
      </c>
      <c r="T21" s="44">
        <f>+T22+T23</f>
        <v>186553.05896714999</v>
      </c>
      <c r="U21" s="44">
        <f>+U22+U23</f>
        <v>206239.26316035999</v>
      </c>
      <c r="V21" s="44">
        <f>+V22+V23</f>
        <v>169511.68562492001</v>
      </c>
      <c r="W21" s="31">
        <f t="shared" si="4"/>
        <v>9.9910425565597816E-2</v>
      </c>
      <c r="X21" s="31">
        <f t="shared" si="5"/>
        <v>0.18922028949088698</v>
      </c>
      <c r="Y21" s="31">
        <f t="shared" si="6"/>
        <v>-0.1587856449203997</v>
      </c>
      <c r="Z21" s="31">
        <f t="shared" si="7"/>
        <v>2.0474135560546891E-2</v>
      </c>
      <c r="AA21" s="31">
        <f t="shared" si="8"/>
        <v>0.23422876886008082</v>
      </c>
      <c r="AB21" s="31">
        <f t="shared" si="9"/>
        <v>6.8733158331113486E-2</v>
      </c>
      <c r="AC21" s="31">
        <f t="shared" si="10"/>
        <v>7.6840539910690397E-2</v>
      </c>
      <c r="AD21" s="31">
        <f t="shared" si="11"/>
        <v>4.6870067480745625E-2</v>
      </c>
      <c r="AE21" s="31">
        <f t="shared" si="12"/>
        <v>5.0342060813230116E-2</v>
      </c>
      <c r="AF21" s="31">
        <f t="shared" si="13"/>
        <v>2.44851636270218E-2</v>
      </c>
      <c r="AG21" s="31">
        <f t="shared" si="14"/>
        <v>4.4586997706612674E-2</v>
      </c>
      <c r="AH21" s="31">
        <f t="shared" si="15"/>
        <v>8.8555348337101547E-2</v>
      </c>
      <c r="AI21" s="31">
        <f t="shared" si="16"/>
        <v>0.21074180474747117</v>
      </c>
      <c r="AJ21" s="31">
        <f t="shared" si="17"/>
        <v>-8.4587443536785378E-2</v>
      </c>
      <c r="AK21" s="31">
        <f t="shared" si="18"/>
        <v>0.21270223505621844</v>
      </c>
      <c r="AL21" s="31">
        <f t="shared" si="19"/>
        <v>5.3191580455595577E-2</v>
      </c>
      <c r="AM21" s="31">
        <f t="shared" si="20"/>
        <v>-5.9450452431364376E-4</v>
      </c>
      <c r="AN21" s="31">
        <f t="shared" si="21"/>
        <v>0.10552603265903304</v>
      </c>
      <c r="AO21" s="31">
        <f t="shared" si="21"/>
        <v>-0.17808237370826274</v>
      </c>
    </row>
    <row r="22" spans="2:41" x14ac:dyDescent="0.25">
      <c r="B22" s="25" t="s">
        <v>26</v>
      </c>
      <c r="C22" s="45">
        <v>34499.65533039</v>
      </c>
      <c r="D22" s="6">
        <v>30690.116453800001</v>
      </c>
      <c r="E22" s="6">
        <v>35741.578990030001</v>
      </c>
      <c r="F22" s="6">
        <v>35432.057122329999</v>
      </c>
      <c r="G22" s="6">
        <v>38009.493835890004</v>
      </c>
      <c r="H22" s="45">
        <v>42870.080955450001</v>
      </c>
      <c r="I22" s="45">
        <v>46852.639833820002</v>
      </c>
      <c r="J22" s="45">
        <v>51618.362169350003</v>
      </c>
      <c r="K22" s="45">
        <v>51048.818745190001</v>
      </c>
      <c r="L22" s="45">
        <v>54559.140858159997</v>
      </c>
      <c r="M22" s="45">
        <v>57088.862392659998</v>
      </c>
      <c r="N22" s="45">
        <v>57076.252093520001</v>
      </c>
      <c r="O22" s="45">
        <v>61615.907027790003</v>
      </c>
      <c r="P22" s="45">
        <v>95192.21818964</v>
      </c>
      <c r="Q22" s="45">
        <v>87059.165796140005</v>
      </c>
      <c r="R22" s="45">
        <v>96693.196209190006</v>
      </c>
      <c r="S22" s="45">
        <v>104510.86930224999</v>
      </c>
      <c r="T22" s="45">
        <v>112107.4408629</v>
      </c>
      <c r="U22" s="45">
        <v>121095.9844495</v>
      </c>
      <c r="V22" s="45">
        <v>85840.368413759992</v>
      </c>
      <c r="W22" s="31">
        <f t="shared" si="4"/>
        <v>-0.11042251988048868</v>
      </c>
      <c r="X22" s="31">
        <f t="shared" si="5"/>
        <v>0.16459574351352901</v>
      </c>
      <c r="Y22" s="31">
        <f t="shared" si="6"/>
        <v>-8.6599942265097596E-3</v>
      </c>
      <c r="Z22" s="31">
        <f t="shared" si="7"/>
        <v>7.2743072880621762E-2</v>
      </c>
      <c r="AA22" s="31">
        <f t="shared" si="8"/>
        <v>0.12787823854077329</v>
      </c>
      <c r="AB22" s="31">
        <f t="shared" si="9"/>
        <v>9.2898328848705081E-2</v>
      </c>
      <c r="AC22" s="31">
        <f t="shared" si="10"/>
        <v>0.10171726400974146</v>
      </c>
      <c r="AD22" s="31">
        <f t="shared" si="11"/>
        <v>-1.1033736837512187E-2</v>
      </c>
      <c r="AE22" s="31">
        <f t="shared" si="12"/>
        <v>6.8764022346760934E-2</v>
      </c>
      <c r="AF22" s="31">
        <f t="shared" si="13"/>
        <v>4.6366594024576768E-2</v>
      </c>
      <c r="AG22" s="31">
        <f t="shared" si="14"/>
        <v>-2.2088895471872316E-4</v>
      </c>
      <c r="AH22" s="31">
        <f t="shared" si="15"/>
        <v>7.953666836483464E-2</v>
      </c>
      <c r="AI22" s="31">
        <f t="shared" si="16"/>
        <v>0.54492926877967429</v>
      </c>
      <c r="AJ22" s="31">
        <f t="shared" si="17"/>
        <v>-8.5438206485508039E-2</v>
      </c>
      <c r="AK22" s="31">
        <f t="shared" si="18"/>
        <v>0.11066072509365976</v>
      </c>
      <c r="AL22" s="31">
        <f t="shared" si="19"/>
        <v>8.0850291432573052E-2</v>
      </c>
      <c r="AM22" s="31">
        <f t="shared" si="20"/>
        <v>7.2686904351358717E-2</v>
      </c>
      <c r="AN22" s="31">
        <f t="shared" si="21"/>
        <v>8.0177939282303212E-2</v>
      </c>
      <c r="AO22" s="31">
        <f t="shared" si="21"/>
        <v>-0.29113777963828735</v>
      </c>
    </row>
    <row r="23" spans="2:41" x14ac:dyDescent="0.25">
      <c r="B23" s="25" t="s">
        <v>27</v>
      </c>
      <c r="C23" s="45">
        <v>30045.2079175</v>
      </c>
      <c r="D23" s="6">
        <v>40303.451549259997</v>
      </c>
      <c r="E23" s="6">
        <v>48685.412502560001</v>
      </c>
      <c r="F23" s="6">
        <v>35589.140077420001</v>
      </c>
      <c r="G23" s="6">
        <v>34465.800983000001</v>
      </c>
      <c r="H23" s="45">
        <v>46581.012941640001</v>
      </c>
      <c r="I23" s="45">
        <v>48746.710262989996</v>
      </c>
      <c r="J23" s="45">
        <v>51326.893604010002</v>
      </c>
      <c r="K23" s="45">
        <v>56721.488113090003</v>
      </c>
      <c r="L23" s="45">
        <v>58636.545341839999</v>
      </c>
      <c r="M23" s="45">
        <v>58878.438705820001</v>
      </c>
      <c r="N23" s="45">
        <v>64061.682793079999</v>
      </c>
      <c r="O23" s="45">
        <v>70249.439879529993</v>
      </c>
      <c r="P23" s="45">
        <v>64462.669908579999</v>
      </c>
      <c r="Q23" s="45">
        <v>59090.923469699999</v>
      </c>
      <c r="R23" s="45">
        <v>80543.343697160002</v>
      </c>
      <c r="S23" s="45">
        <v>82153.162276200004</v>
      </c>
      <c r="T23" s="45">
        <v>74445.618104249996</v>
      </c>
      <c r="U23" s="45">
        <v>85143.278710860002</v>
      </c>
      <c r="V23" s="45">
        <v>83671.31721116</v>
      </c>
      <c r="W23" s="31">
        <f t="shared" si="4"/>
        <v>0.34142694768256288</v>
      </c>
      <c r="X23" s="31">
        <f t="shared" si="5"/>
        <v>0.20797129355175303</v>
      </c>
      <c r="Y23" s="31">
        <f t="shared" si="6"/>
        <v>-0.26899787332502045</v>
      </c>
      <c r="Z23" s="31">
        <f t="shared" si="7"/>
        <v>-3.1564097698800975E-2</v>
      </c>
      <c r="AA23" s="31">
        <f t="shared" si="8"/>
        <v>0.35151401137074223</v>
      </c>
      <c r="AB23" s="31">
        <f t="shared" si="9"/>
        <v>4.6493134961735016E-2</v>
      </c>
      <c r="AC23" s="31">
        <f t="shared" si="10"/>
        <v>5.2930409603024309E-2</v>
      </c>
      <c r="AD23" s="31">
        <f t="shared" si="11"/>
        <v>0.10510268847944726</v>
      </c>
      <c r="AE23" s="31">
        <f t="shared" si="12"/>
        <v>3.3762464499023759E-2</v>
      </c>
      <c r="AF23" s="31">
        <f t="shared" si="13"/>
        <v>4.1253004004551119E-3</v>
      </c>
      <c r="AG23" s="31">
        <f t="shared" si="14"/>
        <v>8.8032974399296471E-2</v>
      </c>
      <c r="AH23" s="31">
        <f t="shared" si="15"/>
        <v>9.6590611058977593E-2</v>
      </c>
      <c r="AI23" s="31">
        <f t="shared" si="16"/>
        <v>-8.2374606557342855E-2</v>
      </c>
      <c r="AJ23" s="31">
        <f t="shared" si="17"/>
        <v>-8.3331119336169768E-2</v>
      </c>
      <c r="AK23" s="31">
        <f t="shared" si="18"/>
        <v>0.36304086935551338</v>
      </c>
      <c r="AL23" s="31">
        <f t="shared" si="19"/>
        <v>1.9986984710901323E-2</v>
      </c>
      <c r="AM23" s="31">
        <f t="shared" si="20"/>
        <v>-9.3819202552874903E-2</v>
      </c>
      <c r="AN23" s="31">
        <f t="shared" si="21"/>
        <v>0.1436976531194829</v>
      </c>
      <c r="AO23" s="31">
        <f t="shared" si="21"/>
        <v>-1.7288052820924049E-2</v>
      </c>
    </row>
    <row r="24" spans="2:41" x14ac:dyDescent="0.25">
      <c r="B24" s="24" t="s">
        <v>28</v>
      </c>
      <c r="C24" s="44">
        <v>10070.37819799</v>
      </c>
      <c r="D24" s="6">
        <f>(+D25+D26)</f>
        <v>14382.6338215</v>
      </c>
      <c r="E24" s="6">
        <f>(+E25+E26)</f>
        <v>13123.411952099999</v>
      </c>
      <c r="F24" s="6">
        <f>(+F25+F26)</f>
        <v>10455.44152391</v>
      </c>
      <c r="G24" s="6">
        <v>12623.35368511</v>
      </c>
      <c r="H24" s="44">
        <f t="shared" ref="H24:O24" si="26">(+H25+H26)</f>
        <v>14163.698884699999</v>
      </c>
      <c r="I24" s="44">
        <f t="shared" si="26"/>
        <v>14939.15587508</v>
      </c>
      <c r="J24" s="44">
        <f t="shared" si="26"/>
        <v>14815.5581064</v>
      </c>
      <c r="K24" s="44">
        <f t="shared" si="26"/>
        <v>17888.73839305</v>
      </c>
      <c r="L24" s="44">
        <f t="shared" si="26"/>
        <v>20917.0987604</v>
      </c>
      <c r="M24" s="44">
        <f t="shared" si="26"/>
        <v>21534.965541540001</v>
      </c>
      <c r="N24" s="44">
        <f t="shared" si="26"/>
        <v>19104.723186899999</v>
      </c>
      <c r="O24" s="44">
        <f t="shared" si="26"/>
        <v>20710.788834889998</v>
      </c>
      <c r="P24" s="44">
        <f>(+P25+P26)</f>
        <v>19600.03010081</v>
      </c>
      <c r="Q24" s="44">
        <f>(+Q25+Q26)</f>
        <v>14323.47891324</v>
      </c>
      <c r="R24" s="44">
        <f>(+R25+R26)</f>
        <v>20755.604651590002</v>
      </c>
      <c r="S24" s="44">
        <f>(+S25+S26)</f>
        <v>22023.75966227</v>
      </c>
      <c r="T24" s="44">
        <f>+T25+T26</f>
        <v>23557.034460999999</v>
      </c>
      <c r="U24" s="44">
        <f>+U25+U26</f>
        <v>30583.102499550001</v>
      </c>
      <c r="V24" s="44">
        <f>+V25+V26</f>
        <v>29415.004936639998</v>
      </c>
      <c r="W24" s="31">
        <f t="shared" si="4"/>
        <v>0.4282118842736915</v>
      </c>
      <c r="X24" s="31">
        <f t="shared" si="5"/>
        <v>-8.7551548974127535E-2</v>
      </c>
      <c r="Y24" s="31">
        <f t="shared" si="6"/>
        <v>-0.20329853531444408</v>
      </c>
      <c r="Z24" s="31">
        <f t="shared" si="7"/>
        <v>0.20734773909282689</v>
      </c>
      <c r="AA24" s="31">
        <f t="shared" si="8"/>
        <v>0.12202345256371361</v>
      </c>
      <c r="AB24" s="31">
        <f t="shared" si="9"/>
        <v>5.4749610020138784E-2</v>
      </c>
      <c r="AC24" s="31">
        <f t="shared" si="10"/>
        <v>-8.2734104733570568E-3</v>
      </c>
      <c r="AD24" s="31">
        <f t="shared" si="11"/>
        <v>0.20742926217018121</v>
      </c>
      <c r="AE24" s="31">
        <f t="shared" si="12"/>
        <v>0.16928864969742952</v>
      </c>
      <c r="AF24" s="31">
        <f t="shared" si="13"/>
        <v>2.9538837494506698E-2</v>
      </c>
      <c r="AG24" s="31">
        <f t="shared" si="14"/>
        <v>-0.11285099806415622</v>
      </c>
      <c r="AH24" s="31">
        <f t="shared" si="15"/>
        <v>8.4066418145815947E-2</v>
      </c>
      <c r="AI24" s="31">
        <f t="shared" si="16"/>
        <v>-5.3631889298623947E-2</v>
      </c>
      <c r="AJ24" s="31">
        <f t="shared" si="17"/>
        <v>-0.26921138184129312</v>
      </c>
      <c r="AK24" s="31">
        <f t="shared" si="18"/>
        <v>0.44906169634560111</v>
      </c>
      <c r="AL24" s="31">
        <f t="shared" si="19"/>
        <v>6.1099400955435534E-2</v>
      </c>
      <c r="AM24" s="31">
        <f t="shared" si="20"/>
        <v>6.9619121450763322E-2</v>
      </c>
      <c r="AN24" s="31">
        <f t="shared" si="21"/>
        <v>0.29825774760324997</v>
      </c>
      <c r="AO24" s="31">
        <f t="shared" si="21"/>
        <v>-3.8194214041142205E-2</v>
      </c>
    </row>
    <row r="25" spans="2:41" x14ac:dyDescent="0.25">
      <c r="B25" s="25" t="s">
        <v>26</v>
      </c>
      <c r="C25" s="44">
        <v>1357.21223738</v>
      </c>
      <c r="D25" s="6">
        <v>1796.8511530000001</v>
      </c>
      <c r="E25" s="6">
        <v>1944.190047</v>
      </c>
      <c r="F25" s="6">
        <v>2025.95118153</v>
      </c>
      <c r="G25" s="6">
        <v>2362.2232825900001</v>
      </c>
      <c r="H25" s="44">
        <v>2099.37091659</v>
      </c>
      <c r="I25" s="44">
        <v>1719.40528634</v>
      </c>
      <c r="J25" s="44">
        <v>1256.0502779599999</v>
      </c>
      <c r="K25" s="44">
        <v>1523.37639767</v>
      </c>
      <c r="L25" s="44">
        <v>1585.8462462800001</v>
      </c>
      <c r="M25" s="44">
        <v>1773.3465324599999</v>
      </c>
      <c r="N25" s="44">
        <v>787.70149741</v>
      </c>
      <c r="O25" s="44">
        <v>743.60324364999997</v>
      </c>
      <c r="P25" s="44">
        <v>985.54086700000005</v>
      </c>
      <c r="Q25" s="44">
        <v>828.847081</v>
      </c>
      <c r="R25" s="44">
        <v>752.99991699999998</v>
      </c>
      <c r="S25" s="44">
        <v>848.12499200000002</v>
      </c>
      <c r="T25" s="44">
        <v>851.417284</v>
      </c>
      <c r="U25" s="44">
        <v>829.41079999999999</v>
      </c>
      <c r="V25" s="44">
        <v>689.13173900000004</v>
      </c>
      <c r="W25" s="31">
        <f t="shared" si="4"/>
        <v>0.32392790420803386</v>
      </c>
      <c r="X25" s="31">
        <f t="shared" si="5"/>
        <v>8.1998385761672399E-2</v>
      </c>
      <c r="Y25" s="31">
        <f t="shared" si="6"/>
        <v>4.2054085533542507E-2</v>
      </c>
      <c r="Z25" s="31">
        <f t="shared" si="7"/>
        <v>0.1659823317193887</v>
      </c>
      <c r="AA25" s="31">
        <f t="shared" si="8"/>
        <v>-0.11127329407734998</v>
      </c>
      <c r="AB25" s="31">
        <f t="shared" si="9"/>
        <v>-0.18099023247743984</v>
      </c>
      <c r="AC25" s="31">
        <f t="shared" si="10"/>
        <v>-0.26948562509442875</v>
      </c>
      <c r="AD25" s="31">
        <f t="shared" si="11"/>
        <v>0.21283074762275822</v>
      </c>
      <c r="AE25" s="31">
        <f t="shared" si="12"/>
        <v>4.1007494080614215E-2</v>
      </c>
      <c r="AF25" s="31">
        <f t="shared" si="13"/>
        <v>0.11823358451037036</v>
      </c>
      <c r="AG25" s="31">
        <f t="shared" si="14"/>
        <v>-0.55581073242504142</v>
      </c>
      <c r="AH25" s="31">
        <f t="shared" si="15"/>
        <v>-5.5983458080246407E-2</v>
      </c>
      <c r="AI25" s="31">
        <f t="shared" si="16"/>
        <v>0.32535848305669246</v>
      </c>
      <c r="AJ25" s="31">
        <f t="shared" si="17"/>
        <v>-0.15899268233998054</v>
      </c>
      <c r="AK25" s="31">
        <f t="shared" si="18"/>
        <v>-9.1509237033797319E-2</v>
      </c>
      <c r="AL25" s="31">
        <f t="shared" si="19"/>
        <v>0.12632813477454885</v>
      </c>
      <c r="AM25" s="31">
        <f t="shared" si="20"/>
        <v>3.8818476416269121E-3</v>
      </c>
      <c r="AN25" s="31">
        <f t="shared" si="21"/>
        <v>-2.5846884264097203E-2</v>
      </c>
      <c r="AO25" s="31">
        <f t="shared" si="21"/>
        <v>-0.16913097948567823</v>
      </c>
    </row>
    <row r="26" spans="2:41" x14ac:dyDescent="0.25">
      <c r="B26" s="25" t="s">
        <v>27</v>
      </c>
      <c r="C26" s="44">
        <v>8713.1659606100002</v>
      </c>
      <c r="D26" s="6">
        <v>12585.7826685</v>
      </c>
      <c r="E26" s="6">
        <v>11179.221905099999</v>
      </c>
      <c r="F26" s="6">
        <v>8429.4903423800006</v>
      </c>
      <c r="G26" s="6">
        <v>10261.130402520001</v>
      </c>
      <c r="H26" s="44">
        <v>12064.327968109999</v>
      </c>
      <c r="I26" s="44">
        <v>13219.75058874</v>
      </c>
      <c r="J26" s="44">
        <v>13559.507828440001</v>
      </c>
      <c r="K26" s="44">
        <v>16365.361995380001</v>
      </c>
      <c r="L26" s="44">
        <v>19331.252514119999</v>
      </c>
      <c r="M26" s="44">
        <v>19761.619009080001</v>
      </c>
      <c r="N26" s="44">
        <v>18317.02168949</v>
      </c>
      <c r="O26" s="44">
        <v>19967.185591239999</v>
      </c>
      <c r="P26" s="44">
        <v>18614.48923381</v>
      </c>
      <c r="Q26" s="44">
        <v>13494.63183224</v>
      </c>
      <c r="R26" s="44">
        <v>20002.604734590001</v>
      </c>
      <c r="S26" s="44">
        <v>21175.634670269999</v>
      </c>
      <c r="T26" s="44">
        <v>22705.617177</v>
      </c>
      <c r="U26" s="44">
        <v>29753.69169955</v>
      </c>
      <c r="V26" s="44">
        <v>28725.873197639998</v>
      </c>
      <c r="W26" s="31">
        <f t="shared" si="4"/>
        <v>0.44445574954007672</v>
      </c>
      <c r="X26" s="31">
        <f t="shared" si="5"/>
        <v>-0.11175790973416178</v>
      </c>
      <c r="Y26" s="31">
        <f t="shared" si="6"/>
        <v>-0.245968063436111</v>
      </c>
      <c r="Z26" s="31">
        <f t="shared" si="7"/>
        <v>0.2172895377708981</v>
      </c>
      <c r="AA26" s="31">
        <f t="shared" si="8"/>
        <v>0.17573088878659582</v>
      </c>
      <c r="AB26" s="31">
        <f t="shared" si="9"/>
        <v>9.5771817848798957E-2</v>
      </c>
      <c r="AC26" s="31">
        <f t="shared" si="10"/>
        <v>2.5700729935812072E-2</v>
      </c>
      <c r="AD26" s="31">
        <f t="shared" si="11"/>
        <v>0.20692890940001085</v>
      </c>
      <c r="AE26" s="31">
        <f t="shared" si="12"/>
        <v>0.18122975340095016</v>
      </c>
      <c r="AF26" s="31">
        <f t="shared" si="13"/>
        <v>2.2262732052444667E-2</v>
      </c>
      <c r="AG26" s="31">
        <f t="shared" si="14"/>
        <v>-7.310116235548525E-2</v>
      </c>
      <c r="AH26" s="31">
        <f t="shared" si="15"/>
        <v>9.0089094707838546E-2</v>
      </c>
      <c r="AI26" s="31">
        <f t="shared" si="16"/>
        <v>-6.7745970069184591E-2</v>
      </c>
      <c r="AJ26" s="31">
        <f t="shared" si="17"/>
        <v>-0.27504689155105388</v>
      </c>
      <c r="AK26" s="31">
        <f t="shared" si="18"/>
        <v>0.48226383522385641</v>
      </c>
      <c r="AL26" s="31">
        <f t="shared" si="19"/>
        <v>5.8643859199572601E-2</v>
      </c>
      <c r="AM26" s="31">
        <f t="shared" si="20"/>
        <v>7.225202599844871E-2</v>
      </c>
      <c r="AN26" s="31">
        <f t="shared" si="21"/>
        <v>0.31041105236678845</v>
      </c>
      <c r="AO26" s="31">
        <f t="shared" si="21"/>
        <v>-3.4544234452948519E-2</v>
      </c>
    </row>
    <row r="27" spans="2:41" x14ac:dyDescent="0.25">
      <c r="B27" s="24" t="s">
        <v>31</v>
      </c>
      <c r="C27" s="51">
        <v>20397.653030130001</v>
      </c>
      <c r="D27" s="6">
        <v>26678.291308069998</v>
      </c>
      <c r="E27" s="6">
        <v>32507.682985309999</v>
      </c>
      <c r="F27" s="6">
        <v>36426.346361780001</v>
      </c>
      <c r="G27" s="6">
        <v>31921.98287385</v>
      </c>
      <c r="H27" s="51">
        <v>33233.853298380003</v>
      </c>
      <c r="I27" s="51">
        <v>42196.27306349</v>
      </c>
      <c r="J27" s="51">
        <v>50754.571576620001</v>
      </c>
      <c r="K27" s="51">
        <v>55204.913700069999</v>
      </c>
      <c r="L27" s="51">
        <v>58309.122447239999</v>
      </c>
      <c r="M27" s="51">
        <v>62231.820515309999</v>
      </c>
      <c r="N27" s="51">
        <v>56366.400598059998</v>
      </c>
      <c r="O27" s="51">
        <v>60011.688533699999</v>
      </c>
      <c r="P27" s="51">
        <v>81715.180881549997</v>
      </c>
      <c r="Q27" s="51">
        <v>45359.581050740002</v>
      </c>
      <c r="R27" s="51">
        <v>74895.445467169993</v>
      </c>
      <c r="S27" s="51">
        <v>81353.111860200006</v>
      </c>
      <c r="T27" s="51">
        <v>70954.673352989994</v>
      </c>
      <c r="U27" s="51">
        <v>94098.644329959949</v>
      </c>
      <c r="V27" s="51">
        <v>70231.894972569993</v>
      </c>
      <c r="W27" s="52">
        <f t="shared" si="4"/>
        <v>0.30790984966077595</v>
      </c>
      <c r="X27" s="52">
        <f t="shared" si="5"/>
        <v>0.21850693546766431</v>
      </c>
      <c r="Y27" s="52">
        <f t="shared" si="6"/>
        <v>0.12054576077417822</v>
      </c>
      <c r="Z27" s="52">
        <f t="shared" si="7"/>
        <v>-0.12365674677315874</v>
      </c>
      <c r="AA27" s="52">
        <f t="shared" si="8"/>
        <v>4.1096144613393282E-2</v>
      </c>
      <c r="AB27" s="52">
        <f t="shared" si="9"/>
        <v>0.26967741852392635</v>
      </c>
      <c r="AC27" s="52">
        <f t="shared" si="10"/>
        <v>0.20282119466458282</v>
      </c>
      <c r="AD27" s="52">
        <f t="shared" si="11"/>
        <v>8.7683571847940511E-2</v>
      </c>
      <c r="AE27" s="52">
        <f t="shared" si="12"/>
        <v>5.6230660263962395E-2</v>
      </c>
      <c r="AF27" s="52">
        <f t="shared" si="13"/>
        <v>6.7274174321854785E-2</v>
      </c>
      <c r="AG27" s="52">
        <f t="shared" si="14"/>
        <v>-9.4251138222881004E-2</v>
      </c>
      <c r="AH27" s="52">
        <f t="shared" si="15"/>
        <v>6.4671291708583212E-2</v>
      </c>
      <c r="AI27" s="52">
        <f t="shared" si="16"/>
        <v>0.36165441896643591</v>
      </c>
      <c r="AJ27" s="52">
        <f t="shared" si="17"/>
        <v>-0.44490631286136595</v>
      </c>
      <c r="AK27" s="52">
        <f t="shared" si="18"/>
        <v>0.65114940950161482</v>
      </c>
      <c r="AL27" s="52">
        <f t="shared" si="19"/>
        <v>8.6222417835283505E-2</v>
      </c>
      <c r="AM27" s="52">
        <f t="shared" si="20"/>
        <v>-0.12781857103486161</v>
      </c>
      <c r="AN27" s="52">
        <f t="shared" si="21"/>
        <v>0.32617965643829838</v>
      </c>
      <c r="AO27" s="52">
        <f t="shared" si="21"/>
        <v>-0.25363542192701971</v>
      </c>
    </row>
    <row r="28" spans="2:41" x14ac:dyDescent="0.25">
      <c r="B28" s="24" t="s">
        <v>73</v>
      </c>
      <c r="C28" s="51"/>
      <c r="D28" s="6"/>
      <c r="E28" s="6"/>
      <c r="F28" s="6"/>
      <c r="G28" s="6"/>
      <c r="H28" s="51"/>
      <c r="I28" s="51"/>
      <c r="J28" s="51"/>
      <c r="K28" s="51"/>
      <c r="L28" s="51"/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-66.586614119999993</v>
      </c>
      <c r="T28" s="51">
        <v>0</v>
      </c>
      <c r="U28" s="51">
        <v>0</v>
      </c>
      <c r="V28" s="51">
        <v>0</v>
      </c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2:41" x14ac:dyDescent="0.25">
      <c r="B29" s="24" t="s">
        <v>74</v>
      </c>
      <c r="C29" s="51"/>
      <c r="D29" s="6"/>
      <c r="E29" s="6"/>
      <c r="F29" s="6"/>
      <c r="G29" s="6"/>
      <c r="H29" s="51"/>
      <c r="I29" s="51"/>
      <c r="J29" s="51"/>
      <c r="K29" s="51"/>
      <c r="L29" s="51"/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180.65786474000001</v>
      </c>
      <c r="T29" s="51">
        <v>108.63135957999999</v>
      </c>
      <c r="U29" s="51">
        <v>0</v>
      </c>
      <c r="V29" s="51">
        <v>0</v>
      </c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141" t="e">
        <f t="shared" ref="AL29:AM32" si="27">+S29/R29-1</f>
        <v>#DIV/0!</v>
      </c>
      <c r="AM29" s="52">
        <f t="shared" si="27"/>
        <v>-0.39869011661163734</v>
      </c>
      <c r="AN29" s="52"/>
      <c r="AO29" s="52"/>
    </row>
    <row r="30" spans="2:41" x14ac:dyDescent="0.25">
      <c r="B30" s="23" t="s">
        <v>32</v>
      </c>
      <c r="C30" s="44">
        <v>2786.7699244400001</v>
      </c>
      <c r="D30" s="6">
        <v>3349.21485626</v>
      </c>
      <c r="E30" s="6">
        <v>3702.30444704</v>
      </c>
      <c r="F30" s="6">
        <v>5083.5471218900002</v>
      </c>
      <c r="G30" s="6">
        <v>5093.2961902500001</v>
      </c>
      <c r="H30" s="44">
        <v>5718.2076447899999</v>
      </c>
      <c r="I30" s="44">
        <v>6432.1989148499997</v>
      </c>
      <c r="J30" s="44">
        <v>4738.8668330099999</v>
      </c>
      <c r="K30" s="44">
        <v>4991.7079788199999</v>
      </c>
      <c r="L30" s="44">
        <v>5091.3399374500004</v>
      </c>
      <c r="M30" s="44">
        <v>5832.1416504899998</v>
      </c>
      <c r="N30" s="44">
        <v>5982.8920336900001</v>
      </c>
      <c r="O30" s="44">
        <v>6924.6890201699998</v>
      </c>
      <c r="P30" s="44">
        <v>7028.5736398400004</v>
      </c>
      <c r="Q30" s="44">
        <v>6818.7630809800003</v>
      </c>
      <c r="R30" s="44">
        <v>40033.972359730004</v>
      </c>
      <c r="S30" s="44">
        <v>45297.310103360003</v>
      </c>
      <c r="T30" s="44">
        <v>45518.240375909998</v>
      </c>
      <c r="U30" s="44">
        <v>48625.589772669999</v>
      </c>
      <c r="V30" s="44">
        <v>50757.06457278</v>
      </c>
      <c r="W30" s="31">
        <f t="shared" si="4"/>
        <v>0.20182682714039379</v>
      </c>
      <c r="X30" s="31">
        <f t="shared" si="5"/>
        <v>0.10542458633850926</v>
      </c>
      <c r="Y30" s="31">
        <f t="shared" si="6"/>
        <v>0.3730764702385041</v>
      </c>
      <c r="Z30" s="31">
        <f t="shared" si="7"/>
        <v>1.9177688582878716E-3</v>
      </c>
      <c r="AA30" s="31">
        <f t="shared" si="8"/>
        <v>0.12269293424094507</v>
      </c>
      <c r="AB30" s="31">
        <f t="shared" si="9"/>
        <v>0.12486277421396808</v>
      </c>
      <c r="AC30" s="31">
        <f t="shared" si="10"/>
        <v>-0.26325866227964567</v>
      </c>
      <c r="AD30" s="31">
        <f t="shared" si="11"/>
        <v>5.3354769129353663E-2</v>
      </c>
      <c r="AE30" s="31">
        <f t="shared" si="12"/>
        <v>1.9959492633131237E-2</v>
      </c>
      <c r="AF30" s="31">
        <f t="shared" si="13"/>
        <v>0.14550230826092325</v>
      </c>
      <c r="AG30" s="31">
        <f t="shared" si="14"/>
        <v>2.5848203324645658E-2</v>
      </c>
      <c r="AH30" s="31">
        <f t="shared" si="15"/>
        <v>0.15741500618374671</v>
      </c>
      <c r="AI30" s="31">
        <f t="shared" si="16"/>
        <v>1.5002062817176087E-2</v>
      </c>
      <c r="AJ30" s="31">
        <f t="shared" ref="AJ30:AK32" si="28">+Q30/P30-1</f>
        <v>-2.9851086381272651E-2</v>
      </c>
      <c r="AK30" s="31">
        <f t="shared" si="28"/>
        <v>4.8711487529753379</v>
      </c>
      <c r="AL30" s="31">
        <f t="shared" si="27"/>
        <v>0.13147178342273036</v>
      </c>
      <c r="AM30" s="31">
        <f t="shared" si="27"/>
        <v>4.8773375735970959E-3</v>
      </c>
      <c r="AN30" s="31">
        <f t="shared" ref="AN30:AO32" si="29">+U30/T30-1</f>
        <v>6.8266026346759379E-2</v>
      </c>
      <c r="AO30" s="31">
        <f t="shared" si="29"/>
        <v>4.3834425660951082E-2</v>
      </c>
    </row>
    <row r="31" spans="2:41" x14ac:dyDescent="0.25">
      <c r="B31" s="23" t="s">
        <v>12</v>
      </c>
      <c r="C31" s="44">
        <v>1393.88243986</v>
      </c>
      <c r="D31" s="6">
        <v>1069.57106297</v>
      </c>
      <c r="E31" s="6">
        <v>776.12823309999999</v>
      </c>
      <c r="F31" s="6">
        <v>632.36617167999998</v>
      </c>
      <c r="G31" s="6">
        <v>7068.3996496999998</v>
      </c>
      <c r="H31" s="44">
        <v>1352.5600345299999</v>
      </c>
      <c r="I31" s="44">
        <v>1176.3466155599999</v>
      </c>
      <c r="J31" s="44">
        <v>1413.4019096699999</v>
      </c>
      <c r="K31" s="44">
        <v>618.54587119999997</v>
      </c>
      <c r="L31" s="44">
        <v>1874.30014035</v>
      </c>
      <c r="M31" s="44">
        <v>3866.7829471499999</v>
      </c>
      <c r="N31" s="44">
        <v>3183.4469526100002</v>
      </c>
      <c r="O31" s="44">
        <v>2512.9005437400001</v>
      </c>
      <c r="P31" s="44">
        <v>3780.1293947499998</v>
      </c>
      <c r="Q31" s="44">
        <v>6109.5609745299998</v>
      </c>
      <c r="R31" s="44">
        <v>13833.162636380001</v>
      </c>
      <c r="S31" s="44">
        <v>7605.4860383799996</v>
      </c>
      <c r="T31" s="44">
        <v>10498.632418360001</v>
      </c>
      <c r="U31" s="44">
        <v>9578.3932254599986</v>
      </c>
      <c r="V31" s="44">
        <v>9742.2375657900011</v>
      </c>
      <c r="W31" s="31">
        <f t="shared" si="4"/>
        <v>-0.23266766810160366</v>
      </c>
      <c r="X31" s="31">
        <f t="shared" si="5"/>
        <v>-0.27435561790084695</v>
      </c>
      <c r="Y31" s="31">
        <f t="shared" si="6"/>
        <v>-0.185229779421614</v>
      </c>
      <c r="Z31" s="31">
        <f t="shared" si="7"/>
        <v>10.177700462568172</v>
      </c>
      <c r="AA31" s="31">
        <f t="shared" si="8"/>
        <v>-0.80864692128897864</v>
      </c>
      <c r="AB31" s="31">
        <f t="shared" si="9"/>
        <v>-0.13028140302196067</v>
      </c>
      <c r="AC31" s="31">
        <f t="shared" si="10"/>
        <v>0.20151823533504176</v>
      </c>
      <c r="AD31" s="31">
        <f t="shared" si="11"/>
        <v>-0.56237085363467654</v>
      </c>
      <c r="AE31" s="31">
        <f t="shared" si="12"/>
        <v>2.0301716131639425</v>
      </c>
      <c r="AF31" s="31">
        <f t="shared" si="13"/>
        <v>1.0630542909888119</v>
      </c>
      <c r="AG31" s="31">
        <f t="shared" si="14"/>
        <v>-0.17671951176976464</v>
      </c>
      <c r="AH31" s="31">
        <f t="shared" si="15"/>
        <v>-0.21063533297460535</v>
      </c>
      <c r="AI31" s="31">
        <f t="shared" si="16"/>
        <v>0.50428929794569499</v>
      </c>
      <c r="AJ31" s="31">
        <f t="shared" si="28"/>
        <v>0.61623064623534085</v>
      </c>
      <c r="AK31" s="31">
        <f t="shared" si="28"/>
        <v>1.26418276109343</v>
      </c>
      <c r="AL31" s="31">
        <f t="shared" si="27"/>
        <v>-0.45019904426062041</v>
      </c>
      <c r="AM31" s="31">
        <f t="shared" si="27"/>
        <v>0.38040256275274853</v>
      </c>
      <c r="AN31" s="31">
        <f t="shared" si="29"/>
        <v>-8.7653244368351091E-2</v>
      </c>
      <c r="AO31" s="31">
        <f t="shared" si="29"/>
        <v>1.71056184971079E-2</v>
      </c>
    </row>
    <row r="32" spans="2:41" x14ac:dyDescent="0.25">
      <c r="B32" s="23" t="s">
        <v>33</v>
      </c>
      <c r="C32" s="44">
        <v>449.04313907</v>
      </c>
      <c r="D32" s="6">
        <v>321.89548868999998</v>
      </c>
      <c r="E32" s="6">
        <v>1926.24292608</v>
      </c>
      <c r="F32" s="6">
        <v>1335.3280460999999</v>
      </c>
      <c r="G32" s="6">
        <v>15563.9</v>
      </c>
      <c r="H32" s="44">
        <v>5962.8043176800002</v>
      </c>
      <c r="I32" s="44">
        <v>22829.785341899998</v>
      </c>
      <c r="J32" s="44">
        <v>20083.192552929999</v>
      </c>
      <c r="K32" s="44">
        <v>19989.830811070002</v>
      </c>
      <c r="L32" s="44">
        <v>26680.440344999999</v>
      </c>
      <c r="M32" s="44">
        <v>6727.0917727400001</v>
      </c>
      <c r="N32" s="44">
        <v>8462.6930853499998</v>
      </c>
      <c r="O32" s="44">
        <v>14847.86313784</v>
      </c>
      <c r="P32" s="44">
        <v>8720.9968210000006</v>
      </c>
      <c r="Q32" s="44">
        <v>7956.1372758899997</v>
      </c>
      <c r="R32" s="44">
        <v>2307.20264481</v>
      </c>
      <c r="S32" s="44">
        <v>1500.9831754500001</v>
      </c>
      <c r="T32" s="44">
        <v>1070.08319987</v>
      </c>
      <c r="U32" s="44">
        <v>1387.9868161300001</v>
      </c>
      <c r="V32" s="44">
        <v>4323.0374436700004</v>
      </c>
      <c r="W32" s="31">
        <f t="shared" si="4"/>
        <v>-0.28315241747893483</v>
      </c>
      <c r="X32" s="31">
        <f t="shared" si="5"/>
        <v>4.9840631315434791</v>
      </c>
      <c r="Y32" s="31">
        <f t="shared" si="6"/>
        <v>-0.3067706943809736</v>
      </c>
      <c r="Z32" s="31">
        <f t="shared" si="7"/>
        <v>10.655487986982976</v>
      </c>
      <c r="AA32" s="31">
        <f t="shared" si="8"/>
        <v>-0.61688238052930178</v>
      </c>
      <c r="AB32" s="31">
        <f t="shared" si="9"/>
        <v>2.8286994047764726</v>
      </c>
      <c r="AC32" s="31">
        <f t="shared" si="10"/>
        <v>-0.12030742943207262</v>
      </c>
      <c r="AD32" s="31">
        <f t="shared" si="11"/>
        <v>-4.6487500238788781E-3</v>
      </c>
      <c r="AE32" s="31">
        <f t="shared" si="12"/>
        <v>0.33470065840801722</v>
      </c>
      <c r="AF32" s="31">
        <f t="shared" si="13"/>
        <v>-0.74786428987853348</v>
      </c>
      <c r="AG32" s="31">
        <f t="shared" si="14"/>
        <v>0.25800172960968459</v>
      </c>
      <c r="AH32" s="31">
        <f t="shared" si="15"/>
        <v>0.75450804939901972</v>
      </c>
      <c r="AI32" s="31">
        <f t="shared" si="16"/>
        <v>-0.41264296821443547</v>
      </c>
      <c r="AJ32" s="31">
        <f t="shared" si="28"/>
        <v>-8.7703224850195216E-2</v>
      </c>
      <c r="AK32" s="31">
        <f t="shared" si="28"/>
        <v>-0.71000969882688347</v>
      </c>
      <c r="AL32" s="31">
        <f t="shared" si="27"/>
        <v>-0.34943591590169698</v>
      </c>
      <c r="AM32" s="31">
        <f t="shared" si="27"/>
        <v>-0.28707848470774144</v>
      </c>
      <c r="AN32" s="31">
        <f t="shared" si="29"/>
        <v>0.29708308316458076</v>
      </c>
      <c r="AO32" s="31">
        <f t="shared" si="29"/>
        <v>2.1146098748427167</v>
      </c>
    </row>
    <row r="33" spans="1:41" x14ac:dyDescent="0.25">
      <c r="D33" s="6"/>
      <c r="E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K33" s="6"/>
      <c r="AL33" s="6"/>
      <c r="AM33" s="6"/>
      <c r="AN33" s="6"/>
      <c r="AO33" s="6"/>
    </row>
    <row r="34" spans="1:41" ht="13" x14ac:dyDescent="0.3">
      <c r="B34" s="3" t="s">
        <v>11</v>
      </c>
      <c r="C34" s="21">
        <v>5.4434167999999996</v>
      </c>
      <c r="D34" s="6">
        <v>0</v>
      </c>
      <c r="E34" s="6">
        <v>0</v>
      </c>
      <c r="F34" s="21"/>
      <c r="G34" s="21">
        <v>692.07800046</v>
      </c>
      <c r="H34" s="21">
        <v>75.546719969999998</v>
      </c>
      <c r="I34" s="21">
        <v>0</v>
      </c>
      <c r="J34" s="21">
        <v>292.18289666999999</v>
      </c>
      <c r="K34" s="21">
        <v>0</v>
      </c>
      <c r="L34" s="21">
        <v>60.6</v>
      </c>
      <c r="M34" s="21">
        <v>0</v>
      </c>
      <c r="N34" s="21">
        <v>479.14930900000002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67.8464946</v>
      </c>
      <c r="W34" s="53">
        <f t="shared" si="4"/>
        <v>-1</v>
      </c>
      <c r="X34" s="53" t="e">
        <f t="shared" ref="X34:AO34" si="30">+E34/D34-1</f>
        <v>#DIV/0!</v>
      </c>
      <c r="Y34" s="53" t="e">
        <f t="shared" si="30"/>
        <v>#DIV/0!</v>
      </c>
      <c r="Z34" s="53" t="e">
        <f t="shared" si="30"/>
        <v>#DIV/0!</v>
      </c>
      <c r="AA34" s="53">
        <f t="shared" si="30"/>
        <v>-0.89084074350031828</v>
      </c>
      <c r="AB34" s="53">
        <f t="shared" si="30"/>
        <v>-1</v>
      </c>
      <c r="AC34" s="53" t="e">
        <f t="shared" si="30"/>
        <v>#DIV/0!</v>
      </c>
      <c r="AD34" s="53">
        <f t="shared" si="30"/>
        <v>-1</v>
      </c>
      <c r="AE34" s="53" t="e">
        <f t="shared" si="30"/>
        <v>#DIV/0!</v>
      </c>
      <c r="AF34" s="53">
        <f t="shared" si="30"/>
        <v>-1</v>
      </c>
      <c r="AG34" s="53" t="e">
        <f t="shared" si="30"/>
        <v>#DIV/0!</v>
      </c>
      <c r="AH34" s="53">
        <f t="shared" si="30"/>
        <v>-1</v>
      </c>
      <c r="AI34" s="53" t="e">
        <f t="shared" si="30"/>
        <v>#DIV/0!</v>
      </c>
      <c r="AJ34" s="53" t="e">
        <f t="shared" si="30"/>
        <v>#DIV/0!</v>
      </c>
      <c r="AK34" s="53" t="e">
        <f t="shared" si="30"/>
        <v>#DIV/0!</v>
      </c>
      <c r="AL34" s="53" t="e">
        <f t="shared" si="30"/>
        <v>#DIV/0!</v>
      </c>
      <c r="AM34" s="53" t="e">
        <f t="shared" si="30"/>
        <v>#DIV/0!</v>
      </c>
      <c r="AN34" s="53" t="e">
        <f t="shared" si="30"/>
        <v>#DIV/0!</v>
      </c>
      <c r="AO34" s="53" t="e">
        <f t="shared" si="30"/>
        <v>#DIV/0!</v>
      </c>
    </row>
    <row r="35" spans="1:41" x14ac:dyDescent="0.25">
      <c r="D35" s="6"/>
      <c r="E35" s="6"/>
      <c r="F35" s="6"/>
      <c r="G35" s="6"/>
      <c r="H35" s="6"/>
      <c r="I35" s="6"/>
      <c r="J35" s="6"/>
      <c r="K35" s="6"/>
      <c r="L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K35" s="6"/>
      <c r="AL35" s="6"/>
      <c r="AM35" s="6"/>
      <c r="AN35" s="6"/>
      <c r="AO35" s="6"/>
    </row>
    <row r="36" spans="1:41" ht="13" x14ac:dyDescent="0.3">
      <c r="A36" s="16">
        <v>2</v>
      </c>
      <c r="B36" s="3" t="s">
        <v>54</v>
      </c>
      <c r="C36" s="22">
        <v>132652.4</v>
      </c>
      <c r="D36" s="22">
        <f>+D40+D56</f>
        <v>169784.19999999992</v>
      </c>
      <c r="E36" s="36">
        <f>+E40+E56</f>
        <v>191802.39999999994</v>
      </c>
      <c r="F36" s="22">
        <f>+F40+F56</f>
        <v>218246.09035919988</v>
      </c>
      <c r="G36" s="22">
        <v>261295.89945299999</v>
      </c>
      <c r="H36" s="22">
        <f>H38+H46</f>
        <v>292548.51555816986</v>
      </c>
      <c r="I36" s="22">
        <f>I38+I46</f>
        <v>313766.54693380004</v>
      </c>
      <c r="J36" s="22">
        <f>J38+J46</f>
        <v>364760.94556436001</v>
      </c>
      <c r="K36" s="22">
        <f>K38+K46</f>
        <v>417307.22234436002</v>
      </c>
      <c r="L36" s="22">
        <f t="shared" ref="L36:R36" si="31">+L40+L56+L65</f>
        <v>438194.1762858202</v>
      </c>
      <c r="M36" s="22">
        <f t="shared" si="31"/>
        <v>490925.37787748012</v>
      </c>
      <c r="N36" s="22">
        <f t="shared" si="31"/>
        <v>544659.20851560135</v>
      </c>
      <c r="O36" s="22">
        <f t="shared" si="31"/>
        <v>574436.82297393866</v>
      </c>
      <c r="P36" s="22">
        <f t="shared" si="31"/>
        <v>723838.04376060073</v>
      </c>
      <c r="Q36" s="22">
        <f t="shared" si="31"/>
        <v>539378.24923618033</v>
      </c>
      <c r="R36" s="22">
        <f t="shared" si="31"/>
        <v>536520.68807668902</v>
      </c>
      <c r="S36" s="22">
        <f>+S40+S56+S65</f>
        <v>571217.19245171896</v>
      </c>
      <c r="T36" s="22">
        <f>+T40+T56+T65</f>
        <v>645753.37719706015</v>
      </c>
      <c r="U36" s="22">
        <f>+U40+U56+U65</f>
        <v>669537.11605232907</v>
      </c>
      <c r="V36" s="22">
        <f>+V40+V56+V65</f>
        <v>732089.48104315961</v>
      </c>
      <c r="W36" s="41">
        <f t="shared" si="4"/>
        <v>0.27991804143762145</v>
      </c>
      <c r="X36" s="41">
        <f t="shared" ref="X36:AO36" si="32">+E36/D36-1</f>
        <v>0.12968344522046227</v>
      </c>
      <c r="Y36" s="41">
        <f t="shared" si="32"/>
        <v>0.13786944459089123</v>
      </c>
      <c r="Z36" s="41">
        <f t="shared" si="32"/>
        <v>0.19725351791157708</v>
      </c>
      <c r="AA36" s="41">
        <f t="shared" si="32"/>
        <v>0.11960622486075922</v>
      </c>
      <c r="AB36" s="41">
        <f t="shared" si="32"/>
        <v>7.2528248298054487E-2</v>
      </c>
      <c r="AC36" s="41">
        <f t="shared" si="32"/>
        <v>0.16252337646855319</v>
      </c>
      <c r="AD36" s="41">
        <f t="shared" si="32"/>
        <v>0.14405675119275752</v>
      </c>
      <c r="AE36" s="41">
        <f t="shared" si="32"/>
        <v>5.0051743231571466E-2</v>
      </c>
      <c r="AF36" s="41">
        <f t="shared" si="32"/>
        <v>0.120337522599262</v>
      </c>
      <c r="AG36" s="41">
        <f t="shared" si="32"/>
        <v>0.10945417177339634</v>
      </c>
      <c r="AH36" s="41">
        <f t="shared" si="32"/>
        <v>5.4672011402308485E-2</v>
      </c>
      <c r="AI36" s="41">
        <f t="shared" si="32"/>
        <v>0.26008294526313858</v>
      </c>
      <c r="AJ36" s="41">
        <f t="shared" si="32"/>
        <v>-0.25483572756978201</v>
      </c>
      <c r="AK36" s="41">
        <f t="shared" si="32"/>
        <v>-5.2978798524744297E-3</v>
      </c>
      <c r="AL36" s="41">
        <f t="shared" si="32"/>
        <v>6.4669462233431174E-2</v>
      </c>
      <c r="AM36" s="41">
        <f t="shared" si="32"/>
        <v>0.13048659201839619</v>
      </c>
      <c r="AN36" s="41">
        <f t="shared" si="32"/>
        <v>3.6830994145944596E-2</v>
      </c>
      <c r="AO36" s="41">
        <f t="shared" si="32"/>
        <v>9.3426284355446532E-2</v>
      </c>
    </row>
    <row r="37" spans="1:41" ht="13" x14ac:dyDescent="0.3">
      <c r="A37" s="16"/>
      <c r="B37" s="17"/>
      <c r="C37" s="17"/>
      <c r="D37" s="21"/>
      <c r="E37" s="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3" x14ac:dyDescent="0.3">
      <c r="A38" s="16">
        <v>3</v>
      </c>
      <c r="B38" s="3" t="s">
        <v>16</v>
      </c>
      <c r="C38" s="5">
        <v>107905.60000000001</v>
      </c>
      <c r="D38" s="5">
        <f>+D36-D46</f>
        <v>132665.09999999992</v>
      </c>
      <c r="E38" s="38">
        <f>+E36-E46</f>
        <v>185466.2999999999</v>
      </c>
      <c r="F38" s="5">
        <f>+F36-F46</f>
        <v>209694.4903591999</v>
      </c>
      <c r="G38" s="5">
        <v>254866.499453</v>
      </c>
      <c r="H38" s="5">
        <f t="shared" ref="H38:Q38" si="33">H40+H56+H65-H46</f>
        <v>283082.24925712979</v>
      </c>
      <c r="I38" s="5">
        <f t="shared" si="33"/>
        <v>297804.71429663006</v>
      </c>
      <c r="J38" s="5">
        <f t="shared" si="33"/>
        <v>339666.97596369998</v>
      </c>
      <c r="K38" s="5">
        <f t="shared" si="33"/>
        <v>347770.58363907004</v>
      </c>
      <c r="L38" s="5">
        <f>L40+L56+L65-L46</f>
        <v>385252.86094682012</v>
      </c>
      <c r="M38" s="5">
        <f t="shared" si="33"/>
        <v>427511.97333661013</v>
      </c>
      <c r="N38" s="5">
        <f t="shared" si="33"/>
        <v>472310.75248414127</v>
      </c>
      <c r="O38" s="5">
        <f t="shared" si="33"/>
        <v>435980.74524634867</v>
      </c>
      <c r="P38" s="5">
        <f t="shared" si="33"/>
        <v>612230.13574972027</v>
      </c>
      <c r="Q38" s="5">
        <f t="shared" si="33"/>
        <v>467890.96680462011</v>
      </c>
      <c r="R38" s="5">
        <f>R40+R56+R65-R46</f>
        <v>471427.46948412911</v>
      </c>
      <c r="S38" s="5">
        <f>S40+S56+S65-S46</f>
        <v>506308.94299095898</v>
      </c>
      <c r="T38" s="5">
        <f>T40+T56+T65-T46</f>
        <v>513781.61320353008</v>
      </c>
      <c r="U38" s="5">
        <f>U40+U56+U65-U46</f>
        <v>538684.41146657919</v>
      </c>
      <c r="V38" s="5">
        <f>V40+V56+V65-V46</f>
        <v>581863.78166061977</v>
      </c>
      <c r="W38" s="32">
        <f t="shared" si="4"/>
        <v>0.22945519046277396</v>
      </c>
      <c r="X38" s="32">
        <f t="shared" ref="X38:AO38" si="34">+E38/D38-1</f>
        <v>0.39800369501850907</v>
      </c>
      <c r="Y38" s="32">
        <f t="shared" si="34"/>
        <v>0.13063392303183918</v>
      </c>
      <c r="Z38" s="32">
        <f t="shared" si="34"/>
        <v>0.21541819728511657</v>
      </c>
      <c r="AA38" s="32">
        <f t="shared" si="34"/>
        <v>0.11070795834166924</v>
      </c>
      <c r="AB38" s="32">
        <f t="shared" si="34"/>
        <v>5.2007729478394493E-2</v>
      </c>
      <c r="AC38" s="32">
        <f t="shared" si="34"/>
        <v>0.14056950631537957</v>
      </c>
      <c r="AD38" s="32">
        <f t="shared" si="34"/>
        <v>2.3857508232522751E-2</v>
      </c>
      <c r="AE38" s="32">
        <f t="shared" si="34"/>
        <v>0.10777874573385615</v>
      </c>
      <c r="AF38" s="32">
        <f t="shared" si="34"/>
        <v>0.10969188466487068</v>
      </c>
      <c r="AG38" s="32">
        <f t="shared" si="34"/>
        <v>0.10478953091743692</v>
      </c>
      <c r="AH38" s="32">
        <f t="shared" si="34"/>
        <v>-7.6919712385782435E-2</v>
      </c>
      <c r="AI38" s="32">
        <f t="shared" si="34"/>
        <v>0.40425957436212645</v>
      </c>
      <c r="AJ38" s="32">
        <f t="shared" si="34"/>
        <v>-0.23575966048836583</v>
      </c>
      <c r="AK38" s="32">
        <f t="shared" si="34"/>
        <v>7.5583905875784563E-3</v>
      </c>
      <c r="AL38" s="32">
        <f t="shared" si="34"/>
        <v>7.3991177359689742E-2</v>
      </c>
      <c r="AM38" s="32">
        <f t="shared" si="34"/>
        <v>1.4759111637308253E-2</v>
      </c>
      <c r="AN38" s="32">
        <f t="shared" si="34"/>
        <v>4.8469617485482175E-2</v>
      </c>
      <c r="AO38" s="32">
        <f t="shared" si="34"/>
        <v>8.0157081353967374E-2</v>
      </c>
    </row>
    <row r="39" spans="1:41" x14ac:dyDescent="0.25">
      <c r="D39" s="6"/>
      <c r="E39" s="37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K39" s="6"/>
      <c r="AL39" s="6"/>
      <c r="AM39" s="6"/>
      <c r="AN39" s="6"/>
      <c r="AO39" s="6"/>
    </row>
    <row r="40" spans="1:41" ht="13" x14ac:dyDescent="0.3">
      <c r="B40" s="17" t="s">
        <v>1</v>
      </c>
      <c r="C40" s="21">
        <v>124220.6</v>
      </c>
      <c r="D40" s="21">
        <f>+D43+D44+D45+D46+D50</f>
        <v>155943.09999999992</v>
      </c>
      <c r="E40" s="39">
        <f>+E43+E44+E45+E46+E50</f>
        <v>153258.19999999992</v>
      </c>
      <c r="F40" s="21">
        <f>+F43+F44+F45+F46+F50</f>
        <v>199339.49035919987</v>
      </c>
      <c r="G40" s="21">
        <v>230666.5</v>
      </c>
      <c r="H40" s="21">
        <f t="shared" ref="H40:Q40" si="35">+H43+H44+H45+H46+H50</f>
        <v>263453.49252896983</v>
      </c>
      <c r="I40" s="21">
        <f t="shared" si="35"/>
        <v>289438.60138427</v>
      </c>
      <c r="J40" s="21">
        <f t="shared" si="35"/>
        <v>317287.49463417998</v>
      </c>
      <c r="K40" s="21">
        <f t="shared" si="35"/>
        <v>397679.70686875004</v>
      </c>
      <c r="L40" s="21">
        <f>+L43+L44+L45+L46+L50</f>
        <v>411903.39788602019</v>
      </c>
      <c r="M40" s="21">
        <f t="shared" si="35"/>
        <v>452027.66015105008</v>
      </c>
      <c r="N40" s="21">
        <f t="shared" si="35"/>
        <v>518440.09931071138</v>
      </c>
      <c r="O40" s="21">
        <f t="shared" si="35"/>
        <v>547340.7951747987</v>
      </c>
      <c r="P40" s="21">
        <f t="shared" si="35"/>
        <v>588755.00835313066</v>
      </c>
      <c r="Q40" s="21">
        <f t="shared" si="35"/>
        <v>513403.28576325031</v>
      </c>
      <c r="R40" s="21">
        <f>+R43+R44+R45+R46+R50</f>
        <v>487994.55876586901</v>
      </c>
      <c r="S40" s="21">
        <f>+S43+S44+S45+S46+S50</f>
        <v>528842.96285881882</v>
      </c>
      <c r="T40" s="21">
        <f>+T43+T44+T45+T46+T50</f>
        <v>589716.51364088012</v>
      </c>
      <c r="U40" s="21">
        <f>+U43+U44+U45+U46+U50</f>
        <v>572633.51229092909</v>
      </c>
      <c r="V40" s="21">
        <f>+V43+V44+V45+V46+V50</f>
        <v>657685.46621044958</v>
      </c>
      <c r="W40" s="29">
        <f t="shared" si="4"/>
        <v>0.25537229734842626</v>
      </c>
      <c r="X40" s="29">
        <f t="shared" ref="X40:AO40" si="36">+E40/D40-1</f>
        <v>-1.7217177290947738E-2</v>
      </c>
      <c r="Y40" s="29">
        <f t="shared" si="36"/>
        <v>0.30067748648489911</v>
      </c>
      <c r="Z40" s="29">
        <f t="shared" si="36"/>
        <v>0.157154057052872</v>
      </c>
      <c r="AA40" s="29">
        <f t="shared" si="36"/>
        <v>0.14214024372403378</v>
      </c>
      <c r="AB40" s="29">
        <f t="shared" si="36"/>
        <v>9.8632622425541827E-2</v>
      </c>
      <c r="AC40" s="29">
        <f t="shared" si="36"/>
        <v>9.6216928622235409E-2</v>
      </c>
      <c r="AD40" s="29">
        <f t="shared" si="36"/>
        <v>0.25337340296773792</v>
      </c>
      <c r="AE40" s="29">
        <f t="shared" si="36"/>
        <v>3.5766700617601677E-2</v>
      </c>
      <c r="AF40" s="29">
        <f t="shared" si="36"/>
        <v>9.7411826343158481E-2</v>
      </c>
      <c r="AG40" s="29">
        <f t="shared" si="36"/>
        <v>0.14692118428652989</v>
      </c>
      <c r="AH40" s="29">
        <f t="shared" si="36"/>
        <v>5.5745487091974688E-2</v>
      </c>
      <c r="AI40" s="29">
        <f t="shared" si="36"/>
        <v>7.56644005771685E-2</v>
      </c>
      <c r="AJ40" s="29">
        <f t="shared" si="36"/>
        <v>-0.12798485196865617</v>
      </c>
      <c r="AK40" s="29">
        <f t="shared" si="36"/>
        <v>-4.9490775968851541E-2</v>
      </c>
      <c r="AL40" s="29">
        <f t="shared" si="36"/>
        <v>8.3706679427440367E-2</v>
      </c>
      <c r="AM40" s="29">
        <f t="shared" si="36"/>
        <v>0.11510704511031244</v>
      </c>
      <c r="AN40" s="29">
        <f t="shared" si="36"/>
        <v>-2.8968158352021489E-2</v>
      </c>
      <c r="AO40" s="29">
        <f t="shared" si="36"/>
        <v>0.14852772688635363</v>
      </c>
    </row>
    <row r="41" spans="1:41" x14ac:dyDescent="0.25">
      <c r="D41" s="6"/>
      <c r="E41" s="3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3" x14ac:dyDescent="0.3">
      <c r="B42" s="26" t="s">
        <v>39</v>
      </c>
      <c r="C42" s="5">
        <v>52959.7</v>
      </c>
      <c r="D42" s="5">
        <f>SUM(D43:D44)</f>
        <v>57451.699999999895</v>
      </c>
      <c r="E42" s="38">
        <f>SUM(E43:E44)</f>
        <v>65991.799999999901</v>
      </c>
      <c r="F42" s="5">
        <f>SUM(F43:F44)</f>
        <v>91139.199999999997</v>
      </c>
      <c r="G42" s="5">
        <v>100092.4</v>
      </c>
      <c r="H42" s="5">
        <f t="shared" ref="H42:O42" si="37">SUM(H43:H44)</f>
        <v>110670.8957470497</v>
      </c>
      <c r="I42" s="5">
        <f t="shared" si="37"/>
        <v>124357.52554139</v>
      </c>
      <c r="J42" s="5">
        <f t="shared" si="37"/>
        <v>136311.82754940001</v>
      </c>
      <c r="K42" s="5">
        <f t="shared" si="37"/>
        <v>144460.08550941999</v>
      </c>
      <c r="L42" s="5">
        <f t="shared" si="37"/>
        <v>153980.90177570999</v>
      </c>
      <c r="M42" s="5">
        <f t="shared" si="37"/>
        <v>156131.58906486011</v>
      </c>
      <c r="N42" s="5">
        <f t="shared" si="37"/>
        <v>176839.60870917997</v>
      </c>
      <c r="O42" s="5">
        <f t="shared" si="37"/>
        <v>186494.804758329</v>
      </c>
      <c r="P42" s="5">
        <f t="shared" ref="P42:V42" si="38">SUM(P43:P44)</f>
        <v>200320.07224688001</v>
      </c>
      <c r="Q42" s="5">
        <f t="shared" si="38"/>
        <v>179360.8012981801</v>
      </c>
      <c r="R42" s="5">
        <f t="shared" si="38"/>
        <v>188336.04651938879</v>
      </c>
      <c r="S42" s="5">
        <f t="shared" si="38"/>
        <v>191534.28969024</v>
      </c>
      <c r="T42" s="5">
        <f t="shared" si="38"/>
        <v>195329.97945654011</v>
      </c>
      <c r="U42" s="5">
        <f t="shared" si="38"/>
        <v>206032.34214689952</v>
      </c>
      <c r="V42" s="5">
        <f t="shared" si="38"/>
        <v>214088.09333070944</v>
      </c>
      <c r="W42" s="32">
        <f t="shared" si="4"/>
        <v>8.4819211589187704E-2</v>
      </c>
      <c r="X42" s="32">
        <f t="shared" ref="X42:AG48" si="39">+E42/D42-1</f>
        <v>0.14864834286887985</v>
      </c>
      <c r="Y42" s="32">
        <f t="shared" si="39"/>
        <v>0.38106855700253872</v>
      </c>
      <c r="Z42" s="32">
        <f t="shared" si="39"/>
        <v>9.8236543660686015E-2</v>
      </c>
      <c r="AA42" s="32">
        <f t="shared" si="39"/>
        <v>0.10568730240307667</v>
      </c>
      <c r="AB42" s="32">
        <f t="shared" si="39"/>
        <v>0.12366963962795219</v>
      </c>
      <c r="AC42" s="32">
        <f t="shared" si="39"/>
        <v>9.6128496896082494E-2</v>
      </c>
      <c r="AD42" s="32">
        <f t="shared" si="39"/>
        <v>5.9776602709453286E-2</v>
      </c>
      <c r="AE42" s="32">
        <f t="shared" si="39"/>
        <v>6.5906206774805964E-2</v>
      </c>
      <c r="AF42" s="32">
        <f t="shared" si="39"/>
        <v>1.3967234016351027E-2</v>
      </c>
      <c r="AG42" s="32">
        <f t="shared" si="39"/>
        <v>0.13263183810751689</v>
      </c>
      <c r="AH42" s="32">
        <f t="shared" ref="AH42:AO48" si="40">+O42/N42-1</f>
        <v>5.4598605593090932E-2</v>
      </c>
      <c r="AI42" s="32">
        <f t="shared" si="40"/>
        <v>7.4132185647029614E-2</v>
      </c>
      <c r="AJ42" s="32">
        <f t="shared" si="40"/>
        <v>-0.10462891069083247</v>
      </c>
      <c r="AK42" s="32">
        <f t="shared" si="40"/>
        <v>5.0040171298564307E-2</v>
      </c>
      <c r="AL42" s="32">
        <f t="shared" si="40"/>
        <v>1.6981577504452616E-2</v>
      </c>
      <c r="AM42" s="32">
        <f t="shared" si="40"/>
        <v>1.9817285836592147E-2</v>
      </c>
      <c r="AN42" s="32">
        <f t="shared" si="40"/>
        <v>5.4791193446782849E-2</v>
      </c>
      <c r="AO42" s="32">
        <f t="shared" si="40"/>
        <v>3.9099449629448113E-2</v>
      </c>
    </row>
    <row r="43" spans="1:41" x14ac:dyDescent="0.25">
      <c r="B43" s="26" t="s">
        <v>2</v>
      </c>
      <c r="C43" s="27">
        <v>39890.199999999997</v>
      </c>
      <c r="D43" s="6">
        <v>42996.599999999897</v>
      </c>
      <c r="E43" s="40">
        <v>54781.799999999901</v>
      </c>
      <c r="F43" s="27">
        <v>75832.399999999994</v>
      </c>
      <c r="G43" s="27">
        <v>83589.299999999799</v>
      </c>
      <c r="H43" s="27">
        <v>93221.805235789696</v>
      </c>
      <c r="I43" s="27">
        <v>102576.80820162001</v>
      </c>
      <c r="J43" s="27">
        <v>111813.98808316</v>
      </c>
      <c r="K43" s="27">
        <v>122027.5133276</v>
      </c>
      <c r="L43" s="27">
        <v>126639.9280747</v>
      </c>
      <c r="M43" s="27">
        <v>129280.0836365</v>
      </c>
      <c r="N43" s="27">
        <v>152329.28124352999</v>
      </c>
      <c r="O43" s="27">
        <v>161640.729104639</v>
      </c>
      <c r="P43" s="27">
        <v>167310.77985285001</v>
      </c>
      <c r="Q43" s="27">
        <v>148267.82230905999</v>
      </c>
      <c r="R43" s="27">
        <v>154303.86081959901</v>
      </c>
      <c r="S43" s="27">
        <v>157594.94981605999</v>
      </c>
      <c r="T43" s="27">
        <v>160066.21870189</v>
      </c>
      <c r="U43" s="27">
        <v>169746.04381122952</v>
      </c>
      <c r="V43" s="27">
        <v>181676.60243903956</v>
      </c>
      <c r="W43" s="31">
        <f t="shared" si="4"/>
        <v>7.7873763480752256E-2</v>
      </c>
      <c r="X43" s="31">
        <f t="shared" si="39"/>
        <v>0.27409609131884927</v>
      </c>
      <c r="Y43" s="31">
        <f t="shared" si="39"/>
        <v>0.38426265657572656</v>
      </c>
      <c r="Z43" s="31">
        <f t="shared" si="39"/>
        <v>0.10229005016325221</v>
      </c>
      <c r="AA43" s="31">
        <f t="shared" si="39"/>
        <v>0.11523610361361936</v>
      </c>
      <c r="AB43" s="31">
        <f t="shared" si="39"/>
        <v>0.10035208975162324</v>
      </c>
      <c r="AC43" s="31">
        <f t="shared" si="39"/>
        <v>9.0051348287069288E-2</v>
      </c>
      <c r="AD43" s="31">
        <f t="shared" si="39"/>
        <v>9.1343895513715578E-2</v>
      </c>
      <c r="AE43" s="31">
        <f t="shared" si="39"/>
        <v>3.77981540500405E-2</v>
      </c>
      <c r="AF43" s="31">
        <f t="shared" si="39"/>
        <v>2.0847734217305236E-2</v>
      </c>
      <c r="AG43" s="31">
        <f t="shared" si="39"/>
        <v>0.17828885129621352</v>
      </c>
      <c r="AH43" s="31">
        <f t="shared" si="40"/>
        <v>6.1127104290755074E-2</v>
      </c>
      <c r="AI43" s="31">
        <f t="shared" si="40"/>
        <v>3.5078106734723224E-2</v>
      </c>
      <c r="AJ43" s="31">
        <f t="shared" si="40"/>
        <v>-0.11381787569538748</v>
      </c>
      <c r="AK43" s="31">
        <f t="shared" si="40"/>
        <v>4.0710374082092216E-2</v>
      </c>
      <c r="AL43" s="31">
        <f t="shared" si="40"/>
        <v>2.1328623788024803E-2</v>
      </c>
      <c r="AM43" s="31">
        <f t="shared" si="40"/>
        <v>1.5681142629978995E-2</v>
      </c>
      <c r="AN43" s="31">
        <f t="shared" si="40"/>
        <v>6.047387879742061E-2</v>
      </c>
      <c r="AO43" s="31">
        <f t="shared" si="40"/>
        <v>7.0284752209469614E-2</v>
      </c>
    </row>
    <row r="44" spans="1:41" ht="14.5" x14ac:dyDescent="0.25">
      <c r="B44" s="26" t="s">
        <v>81</v>
      </c>
      <c r="C44" s="6">
        <v>13069.5</v>
      </c>
      <c r="D44" s="6">
        <v>14455.1</v>
      </c>
      <c r="E44" s="37">
        <v>11210</v>
      </c>
      <c r="F44" s="6">
        <v>15306.8</v>
      </c>
      <c r="G44" s="6">
        <v>16503.099999999999</v>
      </c>
      <c r="H44" s="6">
        <v>17449.090511260001</v>
      </c>
      <c r="I44" s="6">
        <v>21780.717339769999</v>
      </c>
      <c r="J44" s="6">
        <v>24497.839466239999</v>
      </c>
      <c r="K44" s="6">
        <v>22432.57218182</v>
      </c>
      <c r="L44" s="6">
        <v>27340.97370101</v>
      </c>
      <c r="M44" s="6">
        <v>26851.505428360098</v>
      </c>
      <c r="N44" s="6">
        <v>24510.32746565</v>
      </c>
      <c r="O44" s="6">
        <v>24854.075653690001</v>
      </c>
      <c r="P44" s="6">
        <v>33009.292394030002</v>
      </c>
      <c r="Q44" s="6">
        <v>31092.9789891201</v>
      </c>
      <c r="R44" s="6">
        <v>34032.185699789799</v>
      </c>
      <c r="S44" s="6">
        <v>33939.339874179997</v>
      </c>
      <c r="T44" s="6">
        <v>35263.760754650102</v>
      </c>
      <c r="U44" s="6">
        <v>36286.298335669999</v>
      </c>
      <c r="V44" s="6">
        <v>32411.490891669891</v>
      </c>
      <c r="W44" s="31">
        <f t="shared" si="4"/>
        <v>0.10601782776693836</v>
      </c>
      <c r="X44" s="31">
        <f t="shared" si="39"/>
        <v>-0.22449516087747579</v>
      </c>
      <c r="Y44" s="31">
        <f t="shared" si="39"/>
        <v>0.36545941123996428</v>
      </c>
      <c r="Z44" s="31">
        <f t="shared" si="39"/>
        <v>7.8154807013876226E-2</v>
      </c>
      <c r="AA44" s="31">
        <f t="shared" si="39"/>
        <v>5.7321988672431434E-2</v>
      </c>
      <c r="AB44" s="31">
        <f t="shared" si="39"/>
        <v>0.24824370219839098</v>
      </c>
      <c r="AC44" s="31">
        <f t="shared" si="39"/>
        <v>0.12474897332737211</v>
      </c>
      <c r="AD44" s="31">
        <f t="shared" si="39"/>
        <v>-8.4304058211586486E-2</v>
      </c>
      <c r="AE44" s="31">
        <f t="shared" si="39"/>
        <v>0.21880689737255854</v>
      </c>
      <c r="AF44" s="31">
        <f t="shared" si="39"/>
        <v>-1.7902371656639993E-2</v>
      </c>
      <c r="AG44" s="31">
        <f t="shared" si="39"/>
        <v>-8.7189821403361067E-2</v>
      </c>
      <c r="AH44" s="31">
        <f t="shared" si="40"/>
        <v>1.4024626497616044E-2</v>
      </c>
      <c r="AI44" s="31">
        <f t="shared" si="40"/>
        <v>0.32812392035707116</v>
      </c>
      <c r="AJ44" s="31">
        <f t="shared" si="40"/>
        <v>-5.8053755955595254E-2</v>
      </c>
      <c r="AK44" s="31">
        <f t="shared" si="40"/>
        <v>9.4529594983426168E-2</v>
      </c>
      <c r="AL44" s="31">
        <f t="shared" si="40"/>
        <v>-2.728176980133723E-3</v>
      </c>
      <c r="AM44" s="31">
        <f t="shared" si="40"/>
        <v>3.902317739178196E-2</v>
      </c>
      <c r="AN44" s="31">
        <f t="shared" si="40"/>
        <v>2.8996838656383472E-2</v>
      </c>
      <c r="AO44" s="31">
        <f t="shared" si="40"/>
        <v>-0.10678431313538284</v>
      </c>
    </row>
    <row r="45" spans="1:41" ht="14.5" x14ac:dyDescent="0.25">
      <c r="B45" s="1" t="s">
        <v>82</v>
      </c>
      <c r="C45" s="6">
        <v>4146.5</v>
      </c>
      <c r="D45" s="6">
        <v>6291.2</v>
      </c>
      <c r="E45" s="37">
        <v>9850.1000000000095</v>
      </c>
      <c r="F45" s="6">
        <v>9796.9000000000196</v>
      </c>
      <c r="G45" s="6">
        <v>10069.9</v>
      </c>
      <c r="H45" s="6">
        <v>10609.93723293</v>
      </c>
      <c r="I45" s="6">
        <v>12720.28403286</v>
      </c>
      <c r="J45" s="6">
        <v>13447.39220065</v>
      </c>
      <c r="K45" s="6">
        <v>14557.21079372</v>
      </c>
      <c r="L45" s="6">
        <v>17178.104376070001</v>
      </c>
      <c r="M45" s="6">
        <v>15613.9953243</v>
      </c>
      <c r="N45" s="6">
        <v>16664.764536809998</v>
      </c>
      <c r="O45" s="6">
        <v>19297.750288039999</v>
      </c>
      <c r="P45" s="6">
        <v>25809.314438059999</v>
      </c>
      <c r="Q45" s="6">
        <v>23105.5571852801</v>
      </c>
      <c r="R45" s="6">
        <v>27436.755125550098</v>
      </c>
      <c r="S45" s="6">
        <v>36647.764240080003</v>
      </c>
      <c r="T45" s="6">
        <v>26458.006964299999</v>
      </c>
      <c r="U45" s="6">
        <v>30221.898046089926</v>
      </c>
      <c r="V45" s="6">
        <v>29950.791967129924</v>
      </c>
      <c r="W45" s="31">
        <f t="shared" si="4"/>
        <v>0.5172313999758833</v>
      </c>
      <c r="X45" s="31">
        <f t="shared" si="39"/>
        <v>0.56569493896236178</v>
      </c>
      <c r="Y45" s="31">
        <f t="shared" si="39"/>
        <v>-5.4009603963400821E-3</v>
      </c>
      <c r="Z45" s="31">
        <f t="shared" si="39"/>
        <v>2.786595759883026E-2</v>
      </c>
      <c r="AA45" s="31">
        <f t="shared" si="39"/>
        <v>5.3628857578526201E-2</v>
      </c>
      <c r="AB45" s="31">
        <f t="shared" si="39"/>
        <v>0.19890285433358912</v>
      </c>
      <c r="AC45" s="31">
        <f t="shared" si="39"/>
        <v>5.7161315416517366E-2</v>
      </c>
      <c r="AD45" s="31">
        <f t="shared" si="39"/>
        <v>8.253039522535488E-2</v>
      </c>
      <c r="AE45" s="31">
        <f t="shared" si="39"/>
        <v>0.18004091714332104</v>
      </c>
      <c r="AF45" s="31">
        <f t="shared" si="39"/>
        <v>-9.1052482714500615E-2</v>
      </c>
      <c r="AG45" s="31">
        <f t="shared" si="39"/>
        <v>6.7296626563906337E-2</v>
      </c>
      <c r="AH45" s="31">
        <f t="shared" si="40"/>
        <v>0.15799717694265203</v>
      </c>
      <c r="AI45" s="31">
        <f t="shared" si="40"/>
        <v>0.33742607572529404</v>
      </c>
      <c r="AJ45" s="31">
        <f t="shared" si="40"/>
        <v>-0.10475897216366092</v>
      </c>
      <c r="AK45" s="31">
        <f t="shared" si="40"/>
        <v>0.18745265069951578</v>
      </c>
      <c r="AL45" s="31">
        <f t="shared" si="40"/>
        <v>0.33571787452198665</v>
      </c>
      <c r="AM45" s="31">
        <f t="shared" si="40"/>
        <v>-0.27804580953497637</v>
      </c>
      <c r="AN45" s="31">
        <f t="shared" si="40"/>
        <v>0.14225905552404505</v>
      </c>
      <c r="AO45" s="31">
        <f t="shared" si="40"/>
        <v>-8.9705179518027034E-3</v>
      </c>
    </row>
    <row r="46" spans="1:41" ht="13" x14ac:dyDescent="0.3">
      <c r="B46" s="1" t="s">
        <v>17</v>
      </c>
      <c r="C46" s="5">
        <v>24746.799999999999</v>
      </c>
      <c r="D46" s="5">
        <f>+D47+D48</f>
        <v>37119.100000000006</v>
      </c>
      <c r="E46" s="38">
        <f>+E47+E48</f>
        <v>6336.1000000000404</v>
      </c>
      <c r="F46" s="5">
        <f>+F47+F48</f>
        <v>8551.599999999964</v>
      </c>
      <c r="G46" s="5">
        <v>6429.4000000000497</v>
      </c>
      <c r="H46" s="5">
        <f t="shared" ref="H46:O46" si="41">+H47+H48</f>
        <v>9466.2663010400502</v>
      </c>
      <c r="I46" s="5">
        <f t="shared" si="41"/>
        <v>15961.83263717</v>
      </c>
      <c r="J46" s="5">
        <f t="shared" si="41"/>
        <v>25093.96960066001</v>
      </c>
      <c r="K46" s="5">
        <f t="shared" si="41"/>
        <v>69536.638705289995</v>
      </c>
      <c r="L46" s="5">
        <f t="shared" si="41"/>
        <v>52941.315339000103</v>
      </c>
      <c r="M46" s="5">
        <f t="shared" si="41"/>
        <v>63413.404540870004</v>
      </c>
      <c r="N46" s="5">
        <f t="shared" si="41"/>
        <v>72348.456031460097</v>
      </c>
      <c r="O46" s="5">
        <f t="shared" si="41"/>
        <v>138456.07772758999</v>
      </c>
      <c r="P46" s="5">
        <f t="shared" ref="P46:V46" si="42">+P47+P48</f>
        <v>111607.9080108804</v>
      </c>
      <c r="Q46" s="5">
        <f t="shared" si="42"/>
        <v>71487.28243156019</v>
      </c>
      <c r="R46" s="5">
        <f t="shared" si="42"/>
        <v>65093.218592559897</v>
      </c>
      <c r="S46" s="5">
        <f t="shared" si="42"/>
        <v>64908.249460759995</v>
      </c>
      <c r="T46" s="5">
        <f t="shared" si="42"/>
        <v>131971.7639935301</v>
      </c>
      <c r="U46" s="5">
        <f t="shared" si="42"/>
        <v>130852.7045857499</v>
      </c>
      <c r="V46" s="5">
        <f t="shared" si="42"/>
        <v>150225.69938253987</v>
      </c>
      <c r="W46" s="32">
        <f t="shared" si="4"/>
        <v>0.49995554980846046</v>
      </c>
      <c r="X46" s="32">
        <f t="shared" si="39"/>
        <v>-0.82930351220799969</v>
      </c>
      <c r="Y46" s="32">
        <f t="shared" si="39"/>
        <v>0.34966304193429854</v>
      </c>
      <c r="Z46" s="32">
        <f t="shared" si="39"/>
        <v>-0.24816408625285602</v>
      </c>
      <c r="AA46" s="32">
        <f t="shared" si="39"/>
        <v>0.47234054515817614</v>
      </c>
      <c r="AB46" s="32">
        <f t="shared" si="39"/>
        <v>0.68618039357463334</v>
      </c>
      <c r="AC46" s="32">
        <f t="shared" si="39"/>
        <v>0.57212333765636569</v>
      </c>
      <c r="AD46" s="32">
        <f t="shared" si="39"/>
        <v>1.7710497705975174</v>
      </c>
      <c r="AE46" s="32">
        <f t="shared" si="39"/>
        <v>-0.23865581764203692</v>
      </c>
      <c r="AF46" s="32">
        <f t="shared" si="39"/>
        <v>0.19780561051069045</v>
      </c>
      <c r="AG46" s="32">
        <f t="shared" si="39"/>
        <v>0.14090162096298497</v>
      </c>
      <c r="AH46" s="32">
        <f t="shared" si="40"/>
        <v>0.91373921880770426</v>
      </c>
      <c r="AI46" s="32">
        <f t="shared" si="40"/>
        <v>-0.19391109554275332</v>
      </c>
      <c r="AJ46" s="32">
        <f t="shared" si="40"/>
        <v>-0.35947834068719342</v>
      </c>
      <c r="AK46" s="32">
        <f t="shared" si="40"/>
        <v>-8.9443375402076364E-2</v>
      </c>
      <c r="AL46" s="32">
        <f t="shared" si="40"/>
        <v>-2.8416037153990992E-3</v>
      </c>
      <c r="AM46" s="32">
        <f t="shared" si="40"/>
        <v>1.0332047943045062</v>
      </c>
      <c r="AN46" s="32">
        <f t="shared" si="40"/>
        <v>-8.4795366366025027E-3</v>
      </c>
      <c r="AO46" s="32">
        <f t="shared" si="40"/>
        <v>0.14805192493437946</v>
      </c>
    </row>
    <row r="47" spans="1:41" x14ac:dyDescent="0.25">
      <c r="B47" s="1" t="s">
        <v>3</v>
      </c>
      <c r="C47" s="6">
        <v>23887.1</v>
      </c>
      <c r="D47" s="28">
        <v>36296.300000000003</v>
      </c>
      <c r="E47" s="37">
        <v>4649.3000000000302</v>
      </c>
      <c r="F47" s="6">
        <v>7962.6999999999698</v>
      </c>
      <c r="G47" s="6">
        <v>5952.9000000000497</v>
      </c>
      <c r="H47" s="6">
        <v>6996.9373501400496</v>
      </c>
      <c r="I47" s="6">
        <v>13171.0004627</v>
      </c>
      <c r="J47" s="6">
        <v>20436.195982559999</v>
      </c>
      <c r="K47" s="6">
        <v>34062.222399879996</v>
      </c>
      <c r="L47" s="6">
        <v>36923.252215360102</v>
      </c>
      <c r="M47" s="6">
        <v>43264.327710930003</v>
      </c>
      <c r="N47" s="6">
        <v>50179.540363770102</v>
      </c>
      <c r="O47" s="6">
        <v>87851.284132519999</v>
      </c>
      <c r="P47" s="6">
        <v>86508.6028500104</v>
      </c>
      <c r="Q47" s="6">
        <v>50527.839786960198</v>
      </c>
      <c r="R47" s="6">
        <v>44067.080165949897</v>
      </c>
      <c r="S47" s="6">
        <v>35977.827282949998</v>
      </c>
      <c r="T47" s="6">
        <v>88322.311161600097</v>
      </c>
      <c r="U47" s="6">
        <v>80904.712076019903</v>
      </c>
      <c r="V47" s="6">
        <v>101780.19581724983</v>
      </c>
      <c r="W47" s="31">
        <f t="shared" si="4"/>
        <v>0.51949378534857749</v>
      </c>
      <c r="X47" s="31">
        <f t="shared" si="39"/>
        <v>-0.87190705388703449</v>
      </c>
      <c r="Y47" s="31">
        <f t="shared" si="39"/>
        <v>0.71266642290235471</v>
      </c>
      <c r="Z47" s="31">
        <f t="shared" si="39"/>
        <v>-0.25240182350206941</v>
      </c>
      <c r="AA47" s="31">
        <f t="shared" si="39"/>
        <v>0.17538298142753805</v>
      </c>
      <c r="AB47" s="31">
        <f t="shared" si="39"/>
        <v>0.88239508281953838</v>
      </c>
      <c r="AC47" s="31">
        <f t="shared" si="39"/>
        <v>0.55160544109271603</v>
      </c>
      <c r="AD47" s="31">
        <f t="shared" si="39"/>
        <v>0.66675943159618756</v>
      </c>
      <c r="AE47" s="31">
        <f t="shared" si="39"/>
        <v>8.3994220397380248E-2</v>
      </c>
      <c r="AF47" s="31">
        <f t="shared" si="39"/>
        <v>0.17173664601873861</v>
      </c>
      <c r="AG47" s="31">
        <f t="shared" si="39"/>
        <v>0.15983635985387301</v>
      </c>
      <c r="AH47" s="31">
        <f t="shared" si="40"/>
        <v>0.75073911589571063</v>
      </c>
      <c r="AI47" s="31">
        <f t="shared" si="40"/>
        <v>-1.5283570362889853E-2</v>
      </c>
      <c r="AJ47" s="31">
        <f t="shared" si="40"/>
        <v>-0.41592121335532439</v>
      </c>
      <c r="AK47" s="31">
        <f t="shared" si="40"/>
        <v>-0.12786534410041495</v>
      </c>
      <c r="AL47" s="31">
        <f t="shared" si="40"/>
        <v>-0.18356679980922286</v>
      </c>
      <c r="AM47" s="31">
        <f t="shared" si="40"/>
        <v>1.4549095326680916</v>
      </c>
      <c r="AN47" s="31">
        <f t="shared" si="40"/>
        <v>-8.3983299214266283E-2</v>
      </c>
      <c r="AO47" s="31">
        <f t="shared" si="40"/>
        <v>0.25802556125055909</v>
      </c>
    </row>
    <row r="48" spans="1:41" x14ac:dyDescent="0.25">
      <c r="B48" s="1" t="s">
        <v>4</v>
      </c>
      <c r="C48" s="6">
        <v>859.69999999999698</v>
      </c>
      <c r="D48" s="28">
        <v>822.80000000000405</v>
      </c>
      <c r="E48" s="37">
        <v>1686.80000000001</v>
      </c>
      <c r="F48" s="6">
        <v>588.89999999999395</v>
      </c>
      <c r="G48" s="6">
        <v>476.5</v>
      </c>
      <c r="H48" s="6">
        <v>2469.3289509000001</v>
      </c>
      <c r="I48" s="6">
        <v>2790.8321744700002</v>
      </c>
      <c r="J48" s="6">
        <v>4657.77361810001</v>
      </c>
      <c r="K48" s="6">
        <v>35474.416305409999</v>
      </c>
      <c r="L48" s="6">
        <v>16018.06312364</v>
      </c>
      <c r="M48" s="6">
        <v>20149.076829940001</v>
      </c>
      <c r="N48" s="6">
        <v>22168.915667689998</v>
      </c>
      <c r="O48" s="6">
        <v>50604.793595069998</v>
      </c>
      <c r="P48" s="6">
        <v>25099.305160870001</v>
      </c>
      <c r="Q48" s="6">
        <v>20959.4426446</v>
      </c>
      <c r="R48" s="6">
        <v>21026.138426609999</v>
      </c>
      <c r="S48" s="6">
        <v>28930.42217781</v>
      </c>
      <c r="T48" s="6">
        <v>43649.452831930001</v>
      </c>
      <c r="U48" s="6">
        <v>49947.99250973</v>
      </c>
      <c r="V48" s="6">
        <v>48445.503565290033</v>
      </c>
      <c r="W48" s="31">
        <f t="shared" si="4"/>
        <v>-4.2921949517265356E-2</v>
      </c>
      <c r="X48" s="31">
        <f t="shared" si="39"/>
        <v>1.0500729217306777</v>
      </c>
      <c r="Y48" s="31">
        <f t="shared" si="39"/>
        <v>-0.65087740099597435</v>
      </c>
      <c r="Z48" s="31">
        <f t="shared" si="39"/>
        <v>-0.19086432331464609</v>
      </c>
      <c r="AA48" s="31">
        <f t="shared" si="39"/>
        <v>4.1822223523609656</v>
      </c>
      <c r="AB48" s="31">
        <f t="shared" si="39"/>
        <v>0.13019862074383459</v>
      </c>
      <c r="AC48" s="31">
        <f t="shared" si="39"/>
        <v>0.66895510977278883</v>
      </c>
      <c r="AD48" s="31">
        <f t="shared" si="39"/>
        <v>6.6161744245270242</v>
      </c>
      <c r="AE48" s="31">
        <f t="shared" si="39"/>
        <v>-0.54846154519539825</v>
      </c>
      <c r="AF48" s="31">
        <f t="shared" si="39"/>
        <v>0.25789720482517708</v>
      </c>
      <c r="AG48" s="31">
        <f t="shared" si="39"/>
        <v>0.10024473353283714</v>
      </c>
      <c r="AH48" s="31">
        <f t="shared" si="40"/>
        <v>1.2826914204389239</v>
      </c>
      <c r="AI48" s="31">
        <f t="shared" si="40"/>
        <v>-0.50401328850958471</v>
      </c>
      <c r="AJ48" s="31">
        <f t="shared" si="40"/>
        <v>-0.16493932759238594</v>
      </c>
      <c r="AK48" s="31">
        <f t="shared" si="40"/>
        <v>3.1821352857959173E-3</v>
      </c>
      <c r="AL48" s="31">
        <f t="shared" si="40"/>
        <v>0.3759265534557974</v>
      </c>
      <c r="AM48" s="31">
        <f t="shared" si="40"/>
        <v>0.50877344836708538</v>
      </c>
      <c r="AN48" s="31">
        <f t="shared" si="40"/>
        <v>0.14429825047411726</v>
      </c>
      <c r="AO48" s="31">
        <f t="shared" si="40"/>
        <v>-3.0081067705519438E-2</v>
      </c>
    </row>
    <row r="49" spans="1:41" x14ac:dyDescent="0.25">
      <c r="D49" s="6"/>
      <c r="E49" s="37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K49" s="6"/>
      <c r="AL49" s="6"/>
      <c r="AM49" s="6"/>
      <c r="AN49" s="6"/>
      <c r="AO49" s="6"/>
    </row>
    <row r="50" spans="1:41" ht="15" x14ac:dyDescent="0.3">
      <c r="B50" s="1" t="s">
        <v>52</v>
      </c>
      <c r="C50" s="5">
        <v>42367.6</v>
      </c>
      <c r="D50" s="5">
        <f>+D51+D52+D53+D54</f>
        <v>55081.100000000006</v>
      </c>
      <c r="E50" s="38">
        <f>+E51+E52+E53+E54</f>
        <v>71080.199999999983</v>
      </c>
      <c r="F50" s="5">
        <f>+F51+F52+F53+F54</f>
        <v>89851.790359199891</v>
      </c>
      <c r="G50" s="5">
        <v>114074.8</v>
      </c>
      <c r="H50" s="5">
        <f t="shared" ref="H50:O50" si="43">+H51+H52+H53+H54</f>
        <v>132706.39324795009</v>
      </c>
      <c r="I50" s="5">
        <f t="shared" si="43"/>
        <v>136398.95917284998</v>
      </c>
      <c r="J50" s="5">
        <f t="shared" si="43"/>
        <v>142434.30528346999</v>
      </c>
      <c r="K50" s="5">
        <f t="shared" si="43"/>
        <v>169125.77186032003</v>
      </c>
      <c r="L50" s="5">
        <f t="shared" si="43"/>
        <v>187803.07639524009</v>
      </c>
      <c r="M50" s="5">
        <f t="shared" si="43"/>
        <v>216868.67122101999</v>
      </c>
      <c r="N50" s="5">
        <f t="shared" si="43"/>
        <v>252587.2700332613</v>
      </c>
      <c r="O50" s="5">
        <f t="shared" si="43"/>
        <v>203092.16240083979</v>
      </c>
      <c r="P50" s="5">
        <f t="shared" ref="P50:V50" si="44">+P51+P52+P53+P54</f>
        <v>251017.7136573102</v>
      </c>
      <c r="Q50" s="5">
        <f t="shared" si="44"/>
        <v>239449.64484822992</v>
      </c>
      <c r="R50" s="5">
        <f t="shared" si="44"/>
        <v>207128.53852837018</v>
      </c>
      <c r="S50" s="5">
        <f t="shared" si="44"/>
        <v>235752.65946773882</v>
      </c>
      <c r="T50" s="5">
        <f t="shared" si="44"/>
        <v>235956.76322650988</v>
      </c>
      <c r="U50" s="5">
        <f t="shared" si="44"/>
        <v>205526.56751218974</v>
      </c>
      <c r="V50" s="5">
        <f t="shared" si="44"/>
        <v>263420.88153007033</v>
      </c>
      <c r="W50" s="32">
        <f t="shared" si="4"/>
        <v>0.30007600147282365</v>
      </c>
      <c r="X50" s="32">
        <f t="shared" ref="X50:AG54" si="45">+E50/D50-1</f>
        <v>0.29046442427620311</v>
      </c>
      <c r="Y50" s="32">
        <f t="shared" si="45"/>
        <v>0.2640902861725194</v>
      </c>
      <c r="Z50" s="32">
        <f t="shared" si="45"/>
        <v>0.26958850284411651</v>
      </c>
      <c r="AA50" s="32">
        <f t="shared" si="45"/>
        <v>0.16332786248978826</v>
      </c>
      <c r="AB50" s="32">
        <f t="shared" si="45"/>
        <v>2.7825079369014682E-2</v>
      </c>
      <c r="AC50" s="32">
        <f t="shared" si="45"/>
        <v>4.424774314422586E-2</v>
      </c>
      <c r="AD50" s="32">
        <f t="shared" si="45"/>
        <v>0.18739492935869073</v>
      </c>
      <c r="AE50" s="32">
        <f t="shared" si="45"/>
        <v>0.1104344082482327</v>
      </c>
      <c r="AF50" s="32">
        <f t="shared" si="45"/>
        <v>0.15476634027341518</v>
      </c>
      <c r="AG50" s="32">
        <f t="shared" si="45"/>
        <v>0.16470151548924727</v>
      </c>
      <c r="AH50" s="32">
        <f t="shared" ref="AH50:AO54" si="46">+O50/N50-1</f>
        <v>-0.19595250238028172</v>
      </c>
      <c r="AI50" s="32">
        <f t="shared" si="46"/>
        <v>0.23597932431228186</v>
      </c>
      <c r="AJ50" s="32">
        <f t="shared" si="46"/>
        <v>-4.6084671239070563E-2</v>
      </c>
      <c r="AK50" s="32">
        <f t="shared" si="46"/>
        <v>-0.13498080709347382</v>
      </c>
      <c r="AL50" s="32">
        <f t="shared" si="46"/>
        <v>0.13819496406791876</v>
      </c>
      <c r="AM50" s="32">
        <f t="shared" si="46"/>
        <v>8.6575379141784481E-4</v>
      </c>
      <c r="AN50" s="32">
        <f t="shared" si="46"/>
        <v>-0.12896513453656877</v>
      </c>
      <c r="AO50" s="32">
        <f t="shared" si="46"/>
        <v>0.28168773856667895</v>
      </c>
    </row>
    <row r="51" spans="1:41" x14ac:dyDescent="0.25">
      <c r="B51" s="1" t="s">
        <v>6</v>
      </c>
      <c r="C51" s="6">
        <v>23447.4</v>
      </c>
      <c r="D51" s="6">
        <v>27466.6</v>
      </c>
      <c r="E51" s="37">
        <v>29620.2</v>
      </c>
      <c r="F51" s="6">
        <v>35154.390191350001</v>
      </c>
      <c r="G51" s="6">
        <v>39268.800000000003</v>
      </c>
      <c r="H51" s="6">
        <v>45799.292173610003</v>
      </c>
      <c r="I51" s="6">
        <v>46723.19183802</v>
      </c>
      <c r="J51" s="6">
        <v>51511.322967630003</v>
      </c>
      <c r="K51" s="6">
        <v>55534.726023969997</v>
      </c>
      <c r="L51" s="6">
        <v>60221.022091500097</v>
      </c>
      <c r="M51" s="6">
        <v>63100.275272159997</v>
      </c>
      <c r="N51" s="6">
        <v>60502.973749350298</v>
      </c>
      <c r="O51" s="6">
        <v>64531.7390169598</v>
      </c>
      <c r="P51" s="6">
        <v>66733.778070690198</v>
      </c>
      <c r="Q51" s="6">
        <v>75251.774120849906</v>
      </c>
      <c r="R51" s="6">
        <v>75467.708838880193</v>
      </c>
      <c r="S51" s="6">
        <v>85266.718878599801</v>
      </c>
      <c r="T51" s="6">
        <v>84781.311040979897</v>
      </c>
      <c r="U51" s="6">
        <v>83493.971119050053</v>
      </c>
      <c r="V51" s="6">
        <v>81243.408976970139</v>
      </c>
      <c r="W51" s="31">
        <f t="shared" si="4"/>
        <v>0.1714134616204781</v>
      </c>
      <c r="X51" s="31">
        <f t="shared" si="45"/>
        <v>7.8407957300867359E-2</v>
      </c>
      <c r="Y51" s="31">
        <f t="shared" si="45"/>
        <v>0.18683838027258437</v>
      </c>
      <c r="Z51" s="31">
        <f t="shared" si="45"/>
        <v>0.1170382926927398</v>
      </c>
      <c r="AA51" s="31">
        <f t="shared" si="45"/>
        <v>0.16630231057760869</v>
      </c>
      <c r="AB51" s="31">
        <f t="shared" si="45"/>
        <v>2.0172793520646604E-2</v>
      </c>
      <c r="AC51" s="31">
        <f t="shared" si="45"/>
        <v>0.10247868224006407</v>
      </c>
      <c r="AD51" s="31">
        <f t="shared" si="45"/>
        <v>7.8107158281846445E-2</v>
      </c>
      <c r="AE51" s="31">
        <f t="shared" si="45"/>
        <v>8.4384967803881716E-2</v>
      </c>
      <c r="AF51" s="31">
        <f t="shared" si="45"/>
        <v>4.7811429973492414E-2</v>
      </c>
      <c r="AG51" s="31">
        <f t="shared" si="45"/>
        <v>-4.1161492744796857E-2</v>
      </c>
      <c r="AH51" s="31">
        <f t="shared" si="46"/>
        <v>6.6587888461478562E-2</v>
      </c>
      <c r="AI51" s="31">
        <f t="shared" si="46"/>
        <v>3.4123349025999117E-2</v>
      </c>
      <c r="AJ51" s="31">
        <f t="shared" si="46"/>
        <v>0.12764144780079301</v>
      </c>
      <c r="AK51" s="31">
        <f t="shared" si="46"/>
        <v>2.8694967069282651E-3</v>
      </c>
      <c r="AL51" s="31">
        <f t="shared" si="46"/>
        <v>0.12984374629207318</v>
      </c>
      <c r="AM51" s="31">
        <f t="shared" si="46"/>
        <v>-5.692817127289862E-3</v>
      </c>
      <c r="AN51" s="31">
        <f t="shared" si="46"/>
        <v>-1.5184241740583526E-2</v>
      </c>
      <c r="AO51" s="31">
        <f t="shared" si="46"/>
        <v>-2.6954786218886917E-2</v>
      </c>
    </row>
    <row r="52" spans="1:41" x14ac:dyDescent="0.25">
      <c r="B52" s="1" t="s">
        <v>7</v>
      </c>
      <c r="C52" s="6">
        <v>18311.599999999999</v>
      </c>
      <c r="D52" s="6">
        <v>27368.2</v>
      </c>
      <c r="E52" s="37">
        <v>40978.199999999997</v>
      </c>
      <c r="F52" s="6">
        <v>53559.400167849897</v>
      </c>
      <c r="G52" s="6">
        <v>73255.7</v>
      </c>
      <c r="H52" s="6">
        <v>86458.566124090095</v>
      </c>
      <c r="I52" s="6">
        <v>89204.320476499997</v>
      </c>
      <c r="J52" s="6">
        <v>90121.024194979997</v>
      </c>
      <c r="K52" s="6">
        <v>109497.83562814</v>
      </c>
      <c r="L52" s="6">
        <v>126922.54482075</v>
      </c>
      <c r="M52" s="6">
        <v>148148.38773012999</v>
      </c>
      <c r="N52" s="6">
        <v>191518.39148802101</v>
      </c>
      <c r="O52" s="6">
        <v>136681.62344205999</v>
      </c>
      <c r="P52" s="6">
        <v>183532.09130535001</v>
      </c>
      <c r="Q52" s="6">
        <v>163241.17675104001</v>
      </c>
      <c r="R52" s="6">
        <v>131341.02492232999</v>
      </c>
      <c r="S52" s="6">
        <v>149069.85279119899</v>
      </c>
      <c r="T52" s="6">
        <v>150927.39731586</v>
      </c>
      <c r="U52" s="6">
        <v>120338.78181658969</v>
      </c>
      <c r="V52" s="6">
        <v>181593.76420882018</v>
      </c>
      <c r="W52" s="31">
        <f t="shared" si="4"/>
        <v>0.49458266890932534</v>
      </c>
      <c r="X52" s="31">
        <f t="shared" si="45"/>
        <v>0.49729247813155397</v>
      </c>
      <c r="Y52" s="31">
        <f t="shared" si="45"/>
        <v>0.30702178640960076</v>
      </c>
      <c r="Z52" s="31">
        <f t="shared" si="45"/>
        <v>0.36774683380366158</v>
      </c>
      <c r="AA52" s="31">
        <f t="shared" si="45"/>
        <v>0.18022988141660101</v>
      </c>
      <c r="AB52" s="31">
        <f t="shared" si="45"/>
        <v>3.1758037121145888E-2</v>
      </c>
      <c r="AC52" s="31">
        <f t="shared" si="45"/>
        <v>1.0276449768164442E-2</v>
      </c>
      <c r="AD52" s="31">
        <f t="shared" si="45"/>
        <v>0.21500877965209986</v>
      </c>
      <c r="AE52" s="31">
        <f t="shared" si="45"/>
        <v>0.15913290972969696</v>
      </c>
      <c r="AF52" s="31">
        <f t="shared" si="45"/>
        <v>0.16723461493272773</v>
      </c>
      <c r="AG52" s="31">
        <f t="shared" si="45"/>
        <v>0.29274705194156181</v>
      </c>
      <c r="AH52" s="31">
        <f t="shared" si="46"/>
        <v>-0.28632638160701618</v>
      </c>
      <c r="AI52" s="31">
        <f t="shared" si="46"/>
        <v>0.3427707886653113</v>
      </c>
      <c r="AJ52" s="31">
        <f t="shared" si="46"/>
        <v>-0.1105578561765046</v>
      </c>
      <c r="AK52" s="31">
        <f t="shared" si="46"/>
        <v>-0.19541731114424099</v>
      </c>
      <c r="AL52" s="31">
        <f t="shared" si="46"/>
        <v>0.13498316980054903</v>
      </c>
      <c r="AM52" s="31">
        <f t="shared" si="46"/>
        <v>1.2460899973268491E-2</v>
      </c>
      <c r="AN52" s="31">
        <f t="shared" si="46"/>
        <v>-0.20267105935216401</v>
      </c>
      <c r="AO52" s="31">
        <f t="shared" si="46"/>
        <v>0.50902112741668115</v>
      </c>
    </row>
    <row r="53" spans="1:41" x14ac:dyDescent="0.25">
      <c r="B53" s="1" t="s">
        <v>8</v>
      </c>
      <c r="C53" s="6">
        <v>138.6</v>
      </c>
      <c r="D53" s="6">
        <v>246.3</v>
      </c>
      <c r="E53" s="37">
        <v>139.9</v>
      </c>
      <c r="F53" s="6">
        <v>112.1</v>
      </c>
      <c r="G53" s="6">
        <v>129.69999999999899</v>
      </c>
      <c r="H53" s="6">
        <v>122.286619099999</v>
      </c>
      <c r="I53" s="6">
        <v>216.387799720001</v>
      </c>
      <c r="J53" s="6">
        <v>676.31466804000002</v>
      </c>
      <c r="K53" s="6">
        <v>197.91129820999899</v>
      </c>
      <c r="L53" s="6">
        <v>659.50948299000004</v>
      </c>
      <c r="M53" s="6">
        <v>580.92821872999798</v>
      </c>
      <c r="N53" s="6">
        <v>565.90479588999995</v>
      </c>
      <c r="O53" s="6">
        <v>596.24594181999998</v>
      </c>
      <c r="P53" s="6">
        <v>751.84428127000001</v>
      </c>
      <c r="Q53" s="6">
        <v>932.94397633999904</v>
      </c>
      <c r="R53" s="6">
        <v>319.804767160003</v>
      </c>
      <c r="S53" s="6">
        <v>1416.08779794</v>
      </c>
      <c r="T53" s="6">
        <v>247.13538166999899</v>
      </c>
      <c r="U53" s="6">
        <v>1692.8950885499996</v>
      </c>
      <c r="V53" s="6">
        <v>583.52284428000166</v>
      </c>
      <c r="W53" s="31">
        <f t="shared" si="4"/>
        <v>0.77705627705627722</v>
      </c>
      <c r="X53" s="31">
        <f t="shared" si="45"/>
        <v>-0.4319935038570849</v>
      </c>
      <c r="Y53" s="31">
        <f t="shared" si="45"/>
        <v>-0.19871336669049333</v>
      </c>
      <c r="Z53" s="31">
        <f t="shared" si="45"/>
        <v>0.15700267618197139</v>
      </c>
      <c r="AA53" s="31">
        <f t="shared" si="45"/>
        <v>-5.7157909791827666E-2</v>
      </c>
      <c r="AB53" s="31">
        <f t="shared" si="45"/>
        <v>0.76951330662802464</v>
      </c>
      <c r="AC53" s="31">
        <f t="shared" si="45"/>
        <v>2.1254750448737401</v>
      </c>
      <c r="AD53" s="31">
        <f t="shared" si="45"/>
        <v>-0.70736802325527304</v>
      </c>
      <c r="AE53" s="31">
        <f t="shared" si="45"/>
        <v>2.3323488297783292</v>
      </c>
      <c r="AF53" s="31">
        <f t="shared" si="45"/>
        <v>-0.11915107558990712</v>
      </c>
      <c r="AG53" s="31">
        <f t="shared" si="45"/>
        <v>-2.5861065714524289E-2</v>
      </c>
      <c r="AH53" s="31">
        <f t="shared" si="46"/>
        <v>5.3615283260291857E-2</v>
      </c>
      <c r="AI53" s="31">
        <f t="shared" si="46"/>
        <v>0.26096335175891805</v>
      </c>
      <c r="AJ53" s="31">
        <f t="shared" si="46"/>
        <v>0.24087394102950288</v>
      </c>
      <c r="AK53" s="31">
        <f t="shared" si="46"/>
        <v>-0.65720903369287154</v>
      </c>
      <c r="AL53" s="31">
        <f t="shared" si="46"/>
        <v>3.4279758882753315</v>
      </c>
      <c r="AM53" s="31">
        <f t="shared" si="46"/>
        <v>-0.825480184188078</v>
      </c>
      <c r="AN53" s="31">
        <f t="shared" si="46"/>
        <v>5.8500717182233748</v>
      </c>
      <c r="AO53" s="31">
        <f t="shared" si="46"/>
        <v>-0.65531068745683396</v>
      </c>
    </row>
    <row r="54" spans="1:41" x14ac:dyDescent="0.25">
      <c r="B54" s="18" t="s">
        <v>14</v>
      </c>
      <c r="C54" s="6">
        <v>470</v>
      </c>
      <c r="D54" s="6"/>
      <c r="E54" s="37">
        <v>341.9</v>
      </c>
      <c r="F54" s="6">
        <v>1025.9000000000001</v>
      </c>
      <c r="G54" s="6">
        <v>1420.6</v>
      </c>
      <c r="H54" s="6">
        <v>326.24833115000001</v>
      </c>
      <c r="I54" s="6">
        <v>255.05905860999999</v>
      </c>
      <c r="J54" s="6">
        <v>125.64345281999999</v>
      </c>
      <c r="K54" s="6">
        <v>3895.29891</v>
      </c>
      <c r="L54" s="6">
        <v>0</v>
      </c>
      <c r="M54" s="6">
        <v>5039.08</v>
      </c>
      <c r="N54" s="6">
        <v>0</v>
      </c>
      <c r="O54" s="6">
        <v>1282.5540000000001</v>
      </c>
      <c r="P54" s="6">
        <v>0</v>
      </c>
      <c r="Q54" s="6">
        <v>23.75</v>
      </c>
      <c r="R54" s="6">
        <v>0</v>
      </c>
      <c r="S54" s="6">
        <v>0</v>
      </c>
      <c r="T54" s="6">
        <v>0.91948799999825104</v>
      </c>
      <c r="U54" s="6">
        <v>0.91948799999809105</v>
      </c>
      <c r="V54" s="6">
        <v>0.18550000000001887</v>
      </c>
      <c r="W54" s="31">
        <f t="shared" si="4"/>
        <v>-1</v>
      </c>
      <c r="X54" s="31" t="e">
        <f t="shared" si="45"/>
        <v>#DIV/0!</v>
      </c>
      <c r="Y54" s="31">
        <f t="shared" si="45"/>
        <v>2.0005849663644346</v>
      </c>
      <c r="Z54" s="31">
        <f t="shared" si="45"/>
        <v>0.38473535432303319</v>
      </c>
      <c r="AA54" s="31">
        <f t="shared" si="45"/>
        <v>-0.77034469157398278</v>
      </c>
      <c r="AB54" s="31">
        <f t="shared" si="45"/>
        <v>-0.21820578296619442</v>
      </c>
      <c r="AC54" s="31">
        <f t="shared" si="45"/>
        <v>-0.50739466575027214</v>
      </c>
      <c r="AD54" s="31">
        <f t="shared" si="45"/>
        <v>30.00280056439156</v>
      </c>
      <c r="AE54" s="31">
        <f t="shared" si="45"/>
        <v>-1</v>
      </c>
      <c r="AF54" s="46" t="e">
        <f t="shared" si="45"/>
        <v>#DIV/0!</v>
      </c>
      <c r="AG54" s="31">
        <f t="shared" si="45"/>
        <v>-1</v>
      </c>
      <c r="AH54" s="46" t="e">
        <f t="shared" si="46"/>
        <v>#DIV/0!</v>
      </c>
      <c r="AI54" s="31">
        <f t="shared" si="46"/>
        <v>-1</v>
      </c>
      <c r="AJ54" s="46" t="e">
        <f t="shared" si="46"/>
        <v>#DIV/0!</v>
      </c>
      <c r="AK54" s="46">
        <f t="shared" si="46"/>
        <v>-1</v>
      </c>
      <c r="AL54" s="46" t="e">
        <f t="shared" si="46"/>
        <v>#DIV/0!</v>
      </c>
      <c r="AM54" s="46" t="e">
        <f t="shared" si="46"/>
        <v>#DIV/0!</v>
      </c>
      <c r="AN54" s="46">
        <f t="shared" si="46"/>
        <v>-1.7397194795876203E-13</v>
      </c>
      <c r="AO54" s="46">
        <f t="shared" si="46"/>
        <v>-0.79825729101369025</v>
      </c>
    </row>
    <row r="55" spans="1:41" x14ac:dyDescent="0.25">
      <c r="D55" s="6"/>
      <c r="E55" s="37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K55" s="6"/>
      <c r="AL55" s="6"/>
      <c r="AM55" s="6"/>
      <c r="AN55" s="6"/>
      <c r="AO55" s="6"/>
    </row>
    <row r="56" spans="1:41" ht="13" x14ac:dyDescent="0.3">
      <c r="A56" s="16"/>
      <c r="B56" s="17" t="s">
        <v>9</v>
      </c>
      <c r="C56" s="21">
        <v>8431.7999999999993</v>
      </c>
      <c r="D56" s="21">
        <f>+D58+D59</f>
        <v>13841.099999999999</v>
      </c>
      <c r="E56" s="21">
        <f>+E58+E59</f>
        <v>38544.200000000019</v>
      </c>
      <c r="F56" s="21">
        <f>+F58+F59</f>
        <v>18906.600000000009</v>
      </c>
      <c r="G56" s="21">
        <v>30629.399453000002</v>
      </c>
      <c r="H56" s="21">
        <f t="shared" ref="H56:O56" si="47">+H58+H59</f>
        <v>29095.023029200009</v>
      </c>
      <c r="I56" s="21">
        <f t="shared" si="47"/>
        <v>24327.94554953001</v>
      </c>
      <c r="J56" s="21">
        <f t="shared" si="47"/>
        <v>47473.450930179999</v>
      </c>
      <c r="K56" s="21">
        <f t="shared" si="47"/>
        <v>19627.515475610002</v>
      </c>
      <c r="L56" s="21">
        <f t="shared" si="47"/>
        <v>26290.778399800012</v>
      </c>
      <c r="M56" s="21">
        <f t="shared" si="47"/>
        <v>38897.717726430012</v>
      </c>
      <c r="N56" s="21">
        <f t="shared" si="47"/>
        <v>26219.109204889999</v>
      </c>
      <c r="O56" s="21">
        <f t="shared" si="47"/>
        <v>27096.02779914</v>
      </c>
      <c r="P56" s="21">
        <f t="shared" ref="P56:V56" si="48">+P58+P59</f>
        <v>134623.51780022003</v>
      </c>
      <c r="Q56" s="21">
        <f t="shared" si="48"/>
        <v>25974.963472929991</v>
      </c>
      <c r="R56" s="21">
        <f t="shared" si="48"/>
        <v>48391.489584909999</v>
      </c>
      <c r="S56" s="21">
        <f t="shared" si="48"/>
        <v>42133.232459110106</v>
      </c>
      <c r="T56" s="21">
        <f t="shared" si="48"/>
        <v>56036.863556180004</v>
      </c>
      <c r="U56" s="21">
        <f t="shared" si="48"/>
        <v>64312.878461399923</v>
      </c>
      <c r="V56" s="21">
        <f t="shared" si="48"/>
        <v>73270.203472710011</v>
      </c>
      <c r="W56" s="29">
        <f t="shared" si="4"/>
        <v>0.64153561517113777</v>
      </c>
      <c r="X56" s="29">
        <f t="shared" ref="X56:AO56" si="49">+E56/D56-1</f>
        <v>1.7847642167168809</v>
      </c>
      <c r="Y56" s="29">
        <f t="shared" si="49"/>
        <v>-0.50948261995319655</v>
      </c>
      <c r="Z56" s="29">
        <f t="shared" si="49"/>
        <v>0.62003741830894965</v>
      </c>
      <c r="AA56" s="29">
        <f t="shared" si="49"/>
        <v>-5.0094890895737376E-2</v>
      </c>
      <c r="AB56" s="29">
        <f t="shared" si="49"/>
        <v>-0.16384511793944001</v>
      </c>
      <c r="AC56" s="29">
        <f t="shared" si="49"/>
        <v>0.95139580666716572</v>
      </c>
      <c r="AD56" s="29">
        <f t="shared" si="49"/>
        <v>-0.58655806369592733</v>
      </c>
      <c r="AE56" s="29">
        <f t="shared" si="49"/>
        <v>0.33948580667125539</v>
      </c>
      <c r="AF56" s="29">
        <f t="shared" si="49"/>
        <v>0.47951943966504618</v>
      </c>
      <c r="AG56" s="29">
        <f t="shared" si="49"/>
        <v>-0.32594736304863514</v>
      </c>
      <c r="AH56" s="29">
        <f t="shared" si="49"/>
        <v>3.3445781372559047E-2</v>
      </c>
      <c r="AI56" s="29">
        <f t="shared" si="49"/>
        <v>3.9683857279070569</v>
      </c>
      <c r="AJ56" s="29">
        <f t="shared" si="49"/>
        <v>-0.80705478584004486</v>
      </c>
      <c r="AK56" s="29">
        <f t="shared" si="49"/>
        <v>0.86300510625709115</v>
      </c>
      <c r="AL56" s="29">
        <f t="shared" si="49"/>
        <v>-0.12932557314274984</v>
      </c>
      <c r="AM56" s="29">
        <f t="shared" si="49"/>
        <v>0.32999203444841885</v>
      </c>
      <c r="AN56" s="29">
        <f t="shared" si="49"/>
        <v>0.14768876021982869</v>
      </c>
      <c r="AO56" s="29">
        <f t="shared" si="49"/>
        <v>0.13927731467790228</v>
      </c>
    </row>
    <row r="57" spans="1:41" x14ac:dyDescent="0.25">
      <c r="D57" s="6"/>
      <c r="E57" s="37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K57" s="6"/>
      <c r="AL57" s="6"/>
      <c r="AM57" s="6"/>
      <c r="AN57" s="6"/>
      <c r="AO57" s="6"/>
    </row>
    <row r="58" spans="1:41" x14ac:dyDescent="0.25">
      <c r="B58" s="1" t="s">
        <v>13</v>
      </c>
      <c r="C58" s="37">
        <v>1915.5</v>
      </c>
      <c r="D58" s="6">
        <v>2961.9</v>
      </c>
      <c r="E58" s="37">
        <v>9226.6</v>
      </c>
      <c r="F58" s="37">
        <v>6549.6000000000104</v>
      </c>
      <c r="G58" s="37">
        <v>6184.3000000000102</v>
      </c>
      <c r="H58" s="37">
        <v>5140.6375489900101</v>
      </c>
      <c r="I58" s="37">
        <v>7968.7202159500102</v>
      </c>
      <c r="J58" s="37">
        <v>11428.237922230001</v>
      </c>
      <c r="K58" s="37">
        <v>5161.8878248700003</v>
      </c>
      <c r="L58" s="37">
        <v>7454.2441674800102</v>
      </c>
      <c r="M58" s="37">
        <v>7012.3685985600096</v>
      </c>
      <c r="N58" s="37">
        <v>6632.0673630700003</v>
      </c>
      <c r="O58" s="37">
        <v>5686.6885942099998</v>
      </c>
      <c r="P58" s="37">
        <v>6549.2477586100003</v>
      </c>
      <c r="Q58" s="37">
        <v>7055.3835059799903</v>
      </c>
      <c r="R58" s="37">
        <v>25488.364552449999</v>
      </c>
      <c r="S58" s="37">
        <v>18060.034310140101</v>
      </c>
      <c r="T58" s="37">
        <v>23855.347218589999</v>
      </c>
      <c r="U58" s="37">
        <v>28522.581316760021</v>
      </c>
      <c r="V58" s="37">
        <v>28150.423825660029</v>
      </c>
      <c r="W58" s="31">
        <f t="shared" si="4"/>
        <v>0.54628034455755681</v>
      </c>
      <c r="X58" s="31">
        <f t="shared" ref="X58:AG63" si="50">+E58/D58-1</f>
        <v>2.1150950403457243</v>
      </c>
      <c r="Y58" s="31">
        <f t="shared" si="50"/>
        <v>-0.29013937961979386</v>
      </c>
      <c r="Z58" s="31">
        <f t="shared" si="50"/>
        <v>-5.5774398436545636E-2</v>
      </c>
      <c r="AA58" s="31">
        <f t="shared" si="50"/>
        <v>-0.16875999725272028</v>
      </c>
      <c r="AB58" s="31">
        <f t="shared" si="50"/>
        <v>0.55014239771011253</v>
      </c>
      <c r="AC58" s="31">
        <f t="shared" si="50"/>
        <v>0.43413717793172091</v>
      </c>
      <c r="AD58" s="31">
        <f t="shared" si="50"/>
        <v>-0.54832163453394767</v>
      </c>
      <c r="AE58" s="31">
        <f t="shared" si="50"/>
        <v>0.44409263052277614</v>
      </c>
      <c r="AF58" s="31">
        <f t="shared" si="50"/>
        <v>-5.9278386781014381E-2</v>
      </c>
      <c r="AG58" s="31">
        <f t="shared" si="50"/>
        <v>-5.423292146509584E-2</v>
      </c>
      <c r="AH58" s="31">
        <f t="shared" ref="AH58:AO63" si="51">+O58/N58-1</f>
        <v>-0.14254661738272545</v>
      </c>
      <c r="AI58" s="31">
        <f t="shared" si="51"/>
        <v>0.15168039362630648</v>
      </c>
      <c r="AJ58" s="31">
        <f t="shared" si="51"/>
        <v>7.7281508659463372E-2</v>
      </c>
      <c r="AK58" s="31">
        <f t="shared" si="51"/>
        <v>2.6126122032695478</v>
      </c>
      <c r="AL58" s="31">
        <f t="shared" si="51"/>
        <v>-0.29144005010693674</v>
      </c>
      <c r="AM58" s="31">
        <f t="shared" si="51"/>
        <v>0.32089157799639523</v>
      </c>
      <c r="AN58" s="31">
        <f t="shared" si="51"/>
        <v>0.19564729263437175</v>
      </c>
      <c r="AO58" s="31">
        <f t="shared" si="51"/>
        <v>-1.3047819444073627E-2</v>
      </c>
    </row>
    <row r="59" spans="1:41" ht="13" x14ac:dyDescent="0.3">
      <c r="B59" s="1" t="s">
        <v>5</v>
      </c>
      <c r="C59" s="5">
        <v>6516.3</v>
      </c>
      <c r="D59" s="5">
        <f>+D60+D61+D62+D63</f>
        <v>10879.199999999999</v>
      </c>
      <c r="E59" s="5">
        <f>+E60+E61+E62+E63</f>
        <v>29317.60000000002</v>
      </c>
      <c r="F59" s="5">
        <f>+F60+F61+F62+F63</f>
        <v>12357</v>
      </c>
      <c r="G59" s="5">
        <v>24445.099452999999</v>
      </c>
      <c r="H59" s="5">
        <f t="shared" ref="H59:M59" si="52">+H60+H61+H62+H63</f>
        <v>23954.38548021</v>
      </c>
      <c r="I59" s="5">
        <f t="shared" si="52"/>
        <v>16359.22533358</v>
      </c>
      <c r="J59" s="5">
        <f t="shared" si="52"/>
        <v>36045.213007949998</v>
      </c>
      <c r="K59" s="5">
        <f t="shared" si="52"/>
        <v>14465.62765074</v>
      </c>
      <c r="L59" s="5">
        <f t="shared" si="52"/>
        <v>18836.534232320002</v>
      </c>
      <c r="M59" s="5">
        <f t="shared" si="52"/>
        <v>31885.349127869998</v>
      </c>
      <c r="N59" s="5">
        <f t="shared" ref="N59:S59" si="53">+N60+N61+N62+N63</f>
        <v>19587.041841819999</v>
      </c>
      <c r="O59" s="5">
        <f t="shared" si="53"/>
        <v>21409.339204930002</v>
      </c>
      <c r="P59" s="5">
        <f t="shared" si="53"/>
        <v>128074.27004161001</v>
      </c>
      <c r="Q59" s="5">
        <f t="shared" si="53"/>
        <v>18919.579966950001</v>
      </c>
      <c r="R59" s="5">
        <f t="shared" si="53"/>
        <v>22903.125032459997</v>
      </c>
      <c r="S59" s="5">
        <f t="shared" si="53"/>
        <v>24073.198148970005</v>
      </c>
      <c r="T59" s="5">
        <f>+T60+T61+T62+T63</f>
        <v>32181.516337590001</v>
      </c>
      <c r="U59" s="5">
        <f>+U60+U61+U62+U63</f>
        <v>35790.297144639902</v>
      </c>
      <c r="V59" s="5">
        <f>+V60+V61+V62+V63</f>
        <v>45119.779647049989</v>
      </c>
      <c r="W59" s="32">
        <f t="shared" si="4"/>
        <v>0.6695363933520555</v>
      </c>
      <c r="X59" s="32">
        <f t="shared" si="50"/>
        <v>1.6948305022428141</v>
      </c>
      <c r="Y59" s="32">
        <f t="shared" si="50"/>
        <v>-0.57851256583076405</v>
      </c>
      <c r="Z59" s="32">
        <f t="shared" si="50"/>
        <v>0.97823901052035267</v>
      </c>
      <c r="AA59" s="32">
        <f t="shared" si="50"/>
        <v>-2.0074124620907519E-2</v>
      </c>
      <c r="AB59" s="32">
        <f t="shared" si="50"/>
        <v>-0.31706762642292652</v>
      </c>
      <c r="AC59" s="32">
        <f t="shared" si="50"/>
        <v>1.2033569605500372</v>
      </c>
      <c r="AD59" s="32">
        <f t="shared" si="50"/>
        <v>-0.59868103296963415</v>
      </c>
      <c r="AE59" s="32">
        <f t="shared" si="50"/>
        <v>0.30215810105940366</v>
      </c>
      <c r="AF59" s="32">
        <f t="shared" si="50"/>
        <v>0.6927396905721992</v>
      </c>
      <c r="AG59" s="32">
        <f t="shared" si="50"/>
        <v>-0.38570401837941393</v>
      </c>
      <c r="AH59" s="32">
        <f t="shared" si="51"/>
        <v>9.3035864109875188E-2</v>
      </c>
      <c r="AI59" s="32">
        <f t="shared" si="51"/>
        <v>4.9821682871986033</v>
      </c>
      <c r="AJ59" s="32">
        <f t="shared" si="51"/>
        <v>-0.85227649581135045</v>
      </c>
      <c r="AK59" s="32">
        <f t="shared" si="51"/>
        <v>0.21055145370397876</v>
      </c>
      <c r="AL59" s="32">
        <f t="shared" si="51"/>
        <v>5.1087924239670013E-2</v>
      </c>
      <c r="AM59" s="32">
        <f t="shared" si="51"/>
        <v>0.33681931824944988</v>
      </c>
      <c r="AN59" s="32">
        <f t="shared" si="51"/>
        <v>0.11213830849960993</v>
      </c>
      <c r="AO59" s="32">
        <f t="shared" si="51"/>
        <v>0.26067071934906538</v>
      </c>
    </row>
    <row r="60" spans="1:41" x14ac:dyDescent="0.25">
      <c r="B60" s="1" t="s">
        <v>6</v>
      </c>
      <c r="C60" s="6">
        <v>97.2</v>
      </c>
      <c r="D60" s="6">
        <v>18.8</v>
      </c>
      <c r="E60" s="37">
        <v>58.899999999999899</v>
      </c>
      <c r="F60" s="6">
        <v>2201.6999999999998</v>
      </c>
      <c r="G60" s="6">
        <v>1096.9000000000001</v>
      </c>
      <c r="H60" s="6">
        <v>3984.4950851100002</v>
      </c>
      <c r="I60" s="6">
        <v>1213.28678339</v>
      </c>
      <c r="J60" s="6">
        <v>4136.81188002</v>
      </c>
      <c r="K60" s="6">
        <v>538.67682752999997</v>
      </c>
      <c r="L60" s="6">
        <v>3351.3188060000002</v>
      </c>
      <c r="M60" s="6">
        <v>905.23341100000096</v>
      </c>
      <c r="N60" s="6">
        <v>1000.92321347</v>
      </c>
      <c r="O60" s="6">
        <v>1370.0479795700001</v>
      </c>
      <c r="P60" s="6">
        <v>1681.6757684500001</v>
      </c>
      <c r="Q60" s="6">
        <v>84.506582550000999</v>
      </c>
      <c r="R60" s="6">
        <v>41.666650170000104</v>
      </c>
      <c r="S60" s="6">
        <v>1127.39733727</v>
      </c>
      <c r="T60" s="6">
        <v>306.56176311000002</v>
      </c>
      <c r="U60" s="6">
        <v>872.24640683000098</v>
      </c>
      <c r="V60" s="6">
        <v>369.96990180999933</v>
      </c>
      <c r="W60" s="31">
        <f t="shared" si="4"/>
        <v>-0.80658436213991769</v>
      </c>
      <c r="X60" s="31">
        <f t="shared" si="50"/>
        <v>2.1329787234042499</v>
      </c>
      <c r="Y60" s="31">
        <f t="shared" si="50"/>
        <v>36.380305602716533</v>
      </c>
      <c r="Z60" s="31">
        <f t="shared" si="50"/>
        <v>-0.50179406822001171</v>
      </c>
      <c r="AA60" s="31">
        <f t="shared" si="50"/>
        <v>2.6325053196371591</v>
      </c>
      <c r="AB60" s="31">
        <f t="shared" si="50"/>
        <v>-0.69549798469471447</v>
      </c>
      <c r="AC60" s="31">
        <f t="shared" si="50"/>
        <v>2.4095911507924663</v>
      </c>
      <c r="AD60" s="31">
        <f t="shared" si="50"/>
        <v>-0.86978454830597818</v>
      </c>
      <c r="AE60" s="31">
        <f t="shared" si="50"/>
        <v>5.2213903303894371</v>
      </c>
      <c r="AF60" s="31">
        <f t="shared" si="50"/>
        <v>-0.72988740749482695</v>
      </c>
      <c r="AG60" s="31">
        <f t="shared" si="50"/>
        <v>0.10570732510225356</v>
      </c>
      <c r="AH60" s="31">
        <f t="shared" si="51"/>
        <v>0.36878429946720748</v>
      </c>
      <c r="AI60" s="31">
        <f t="shared" si="51"/>
        <v>0.22745757340396699</v>
      </c>
      <c r="AJ60" s="31">
        <f t="shared" si="51"/>
        <v>-0.94974858760800795</v>
      </c>
      <c r="AK60" s="31">
        <f t="shared" si="51"/>
        <v>-0.50694195750553861</v>
      </c>
      <c r="AL60" s="31">
        <f t="shared" si="51"/>
        <v>26.057546807103865</v>
      </c>
      <c r="AM60" s="31">
        <f t="shared" si="51"/>
        <v>-0.72808010718533245</v>
      </c>
      <c r="AN60" s="31">
        <f t="shared" si="51"/>
        <v>1.8452550571906219</v>
      </c>
      <c r="AO60" s="31">
        <f t="shared" si="51"/>
        <v>-0.57584244668364026</v>
      </c>
    </row>
    <row r="61" spans="1:41" x14ac:dyDescent="0.25">
      <c r="B61" s="1" t="s">
        <v>7</v>
      </c>
      <c r="C61" s="6">
        <v>5894.8</v>
      </c>
      <c r="D61" s="6">
        <v>10523.1</v>
      </c>
      <c r="E61" s="37">
        <f>7909.70000000002-928+22122.9</f>
        <v>29104.60000000002</v>
      </c>
      <c r="F61" s="6">
        <f>10103.4-840.9</f>
        <v>9262.5</v>
      </c>
      <c r="G61" s="6">
        <v>23210.299453</v>
      </c>
      <c r="H61" s="6">
        <f>20857.44519286-1125</f>
        <v>19732.445192859999</v>
      </c>
      <c r="I61" s="6">
        <v>15145.93855019</v>
      </c>
      <c r="J61" s="6">
        <v>30887.978825360002</v>
      </c>
      <c r="K61" s="6">
        <v>12176.71346468</v>
      </c>
      <c r="L61" s="6">
        <v>14197.91719437</v>
      </c>
      <c r="M61" s="6">
        <v>27056.756455309998</v>
      </c>
      <c r="N61" s="6">
        <v>13874.95687129</v>
      </c>
      <c r="O61" s="6">
        <v>17632.85767438</v>
      </c>
      <c r="P61" s="6">
        <v>98581.494271360003</v>
      </c>
      <c r="Q61" s="6">
        <v>13876.69592283</v>
      </c>
      <c r="R61" s="6">
        <v>20945.39063337</v>
      </c>
      <c r="S61" s="6">
        <v>22945.800811699999</v>
      </c>
      <c r="T61" s="6">
        <v>24903.496082130001</v>
      </c>
      <c r="U61" s="6">
        <v>30311.913910719901</v>
      </c>
      <c r="V61" s="6">
        <v>37937.979745240002</v>
      </c>
      <c r="W61" s="31">
        <f t="shared" si="4"/>
        <v>0.7851496233968922</v>
      </c>
      <c r="X61" s="31">
        <f t="shared" si="50"/>
        <v>1.7657819463846223</v>
      </c>
      <c r="Y61" s="31">
        <f t="shared" si="50"/>
        <v>-0.68175133827642387</v>
      </c>
      <c r="Z61" s="31">
        <f t="shared" si="50"/>
        <v>1.5058352985695005</v>
      </c>
      <c r="AA61" s="31">
        <f t="shared" si="50"/>
        <v>-0.14984099051296285</v>
      </c>
      <c r="AB61" s="31">
        <f t="shared" si="50"/>
        <v>-0.23243478432817766</v>
      </c>
      <c r="AC61" s="31">
        <f t="shared" si="50"/>
        <v>1.0393571994897948</v>
      </c>
      <c r="AD61" s="31">
        <f t="shared" si="50"/>
        <v>-0.60577823710878298</v>
      </c>
      <c r="AE61" s="31">
        <f t="shared" si="50"/>
        <v>0.16598926595035191</v>
      </c>
      <c r="AF61" s="31">
        <f t="shared" si="50"/>
        <v>0.90568490327856011</v>
      </c>
      <c r="AG61" s="31">
        <f t="shared" si="50"/>
        <v>-0.48719068029431212</v>
      </c>
      <c r="AH61" s="31">
        <f t="shared" si="51"/>
        <v>0.2708405393940958</v>
      </c>
      <c r="AI61" s="31">
        <f t="shared" si="51"/>
        <v>4.5907837567699463</v>
      </c>
      <c r="AJ61" s="31">
        <f t="shared" si="51"/>
        <v>-0.8592362996179348</v>
      </c>
      <c r="AK61" s="31">
        <f t="shared" si="51"/>
        <v>0.50939321217744293</v>
      </c>
      <c r="AL61" s="31">
        <f t="shared" si="51"/>
        <v>9.5505985700880869E-2</v>
      </c>
      <c r="AM61" s="31">
        <f t="shared" si="51"/>
        <v>8.5318236939971204E-2</v>
      </c>
      <c r="AN61" s="31">
        <f t="shared" si="51"/>
        <v>0.2171750428435153</v>
      </c>
      <c r="AO61" s="31">
        <f t="shared" si="51"/>
        <v>0.25158641770301138</v>
      </c>
    </row>
    <row r="62" spans="1:41" x14ac:dyDescent="0.25">
      <c r="B62" s="1" t="s">
        <v>8</v>
      </c>
      <c r="C62" s="6">
        <v>2.5</v>
      </c>
      <c r="D62" s="6">
        <v>7.0000000000000098</v>
      </c>
      <c r="E62" s="37">
        <v>6.9999999999999902</v>
      </c>
      <c r="F62" s="6">
        <v>8.3000000000000007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114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46">
        <f t="shared" si="4"/>
        <v>1.8000000000000038</v>
      </c>
      <c r="X62" s="46">
        <f t="shared" si="50"/>
        <v>-2.7755575615628914E-15</v>
      </c>
      <c r="Y62" s="46">
        <f t="shared" si="50"/>
        <v>0.1857142857142875</v>
      </c>
      <c r="Z62" s="46">
        <f t="shared" si="50"/>
        <v>-1</v>
      </c>
      <c r="AA62" s="46" t="e">
        <f t="shared" si="50"/>
        <v>#DIV/0!</v>
      </c>
      <c r="AB62" s="46" t="e">
        <f t="shared" si="50"/>
        <v>#DIV/0!</v>
      </c>
      <c r="AC62" s="46" t="e">
        <f t="shared" si="50"/>
        <v>#DIV/0!</v>
      </c>
      <c r="AD62" s="46" t="e">
        <f t="shared" si="50"/>
        <v>#DIV/0!</v>
      </c>
      <c r="AE62" s="46" t="e">
        <f t="shared" si="50"/>
        <v>#DIV/0!</v>
      </c>
      <c r="AF62" s="46" t="e">
        <f t="shared" si="50"/>
        <v>#DIV/0!</v>
      </c>
      <c r="AG62" s="46" t="e">
        <f t="shared" si="50"/>
        <v>#DIV/0!</v>
      </c>
      <c r="AH62" s="46">
        <f t="shared" si="51"/>
        <v>-1</v>
      </c>
      <c r="AI62" s="46" t="e">
        <f t="shared" si="51"/>
        <v>#DIV/0!</v>
      </c>
      <c r="AJ62" s="46" t="e">
        <f t="shared" si="51"/>
        <v>#DIV/0!</v>
      </c>
      <c r="AK62" s="46" t="e">
        <f t="shared" si="51"/>
        <v>#DIV/0!</v>
      </c>
      <c r="AL62" s="46" t="e">
        <f t="shared" si="51"/>
        <v>#DIV/0!</v>
      </c>
      <c r="AM62" s="46" t="e">
        <f t="shared" si="51"/>
        <v>#DIV/0!</v>
      </c>
      <c r="AN62" s="46" t="e">
        <f t="shared" si="51"/>
        <v>#DIV/0!</v>
      </c>
      <c r="AO62" s="46" t="e">
        <f t="shared" si="51"/>
        <v>#DIV/0!</v>
      </c>
    </row>
    <row r="63" spans="1:41" x14ac:dyDescent="0.25">
      <c r="B63" s="18" t="s">
        <v>15</v>
      </c>
      <c r="C63" s="6">
        <v>521.79999999999995</v>
      </c>
      <c r="D63" s="6">
        <v>330.3</v>
      </c>
      <c r="E63" s="37">
        <v>147.1</v>
      </c>
      <c r="F63" s="6">
        <v>884.5</v>
      </c>
      <c r="G63" s="6">
        <v>137.900000000001</v>
      </c>
      <c r="H63" s="6">
        <v>237.44520223999999</v>
      </c>
      <c r="I63" s="6">
        <v>0</v>
      </c>
      <c r="J63" s="6">
        <v>1020.4223025700001</v>
      </c>
      <c r="K63" s="6">
        <v>1750.2373585299999</v>
      </c>
      <c r="L63" s="6">
        <v>1287.2982319499999</v>
      </c>
      <c r="M63" s="6">
        <v>3923.35926156</v>
      </c>
      <c r="N63" s="6">
        <v>4597.1617570600001</v>
      </c>
      <c r="O63" s="6">
        <v>2406.4335509799998</v>
      </c>
      <c r="P63" s="6">
        <v>27811.100001800001</v>
      </c>
      <c r="Q63" s="6">
        <v>4958.3774615700004</v>
      </c>
      <c r="R63" s="6">
        <v>1916.06774892</v>
      </c>
      <c r="S63" s="6">
        <v>8.4054846416492507E-12</v>
      </c>
      <c r="T63" s="6">
        <v>6971.4584923499997</v>
      </c>
      <c r="U63" s="6">
        <v>4606.1368270900002</v>
      </c>
      <c r="V63" s="6">
        <v>6811.8299999999836</v>
      </c>
      <c r="W63" s="31">
        <f t="shared" si="4"/>
        <v>-0.3669988501341509</v>
      </c>
      <c r="X63" s="31">
        <f t="shared" si="50"/>
        <v>-0.55464729034211324</v>
      </c>
      <c r="Y63" s="31">
        <f t="shared" si="50"/>
        <v>5.0129163834126444</v>
      </c>
      <c r="Z63" s="31">
        <f t="shared" si="50"/>
        <v>-0.8440927077444873</v>
      </c>
      <c r="AA63" s="31">
        <f t="shared" si="50"/>
        <v>0.72186513589556389</v>
      </c>
      <c r="AB63" s="31">
        <f t="shared" si="50"/>
        <v>-1</v>
      </c>
      <c r="AC63" s="31" t="e">
        <f t="shared" si="50"/>
        <v>#DIV/0!</v>
      </c>
      <c r="AD63" s="31">
        <f t="shared" si="50"/>
        <v>0.71520884453614264</v>
      </c>
      <c r="AE63" s="31">
        <f t="shared" si="50"/>
        <v>-0.26450076860935945</v>
      </c>
      <c r="AF63" s="31">
        <f t="shared" si="50"/>
        <v>2.0477469510828845</v>
      </c>
      <c r="AG63" s="31">
        <f t="shared" si="50"/>
        <v>0.17174121730368475</v>
      </c>
      <c r="AH63" s="31">
        <f t="shared" si="51"/>
        <v>-0.47653929138247808</v>
      </c>
      <c r="AI63" s="31">
        <f t="shared" si="51"/>
        <v>10.556978164002976</v>
      </c>
      <c r="AJ63" s="31">
        <f t="shared" si="51"/>
        <v>-0.82171228533754215</v>
      </c>
      <c r="AK63" s="31">
        <f t="shared" si="51"/>
        <v>-0.61356960744305578</v>
      </c>
      <c r="AL63" s="31">
        <f t="shared" si="51"/>
        <v>-0.99999999999999556</v>
      </c>
      <c r="AM63" s="46">
        <f t="shared" si="51"/>
        <v>829393995654498.38</v>
      </c>
      <c r="AN63" s="31">
        <f t="shared" si="51"/>
        <v>-0.33928648759159097</v>
      </c>
      <c r="AO63" s="31">
        <f t="shared" si="51"/>
        <v>0.47885967258672713</v>
      </c>
    </row>
    <row r="64" spans="1:41" x14ac:dyDescent="0.25">
      <c r="D64" s="7"/>
      <c r="AG64" s="7"/>
      <c r="AH64" s="7"/>
      <c r="AI64" s="7"/>
      <c r="AJ64" s="7"/>
      <c r="AK64" s="7"/>
      <c r="AL64" s="7"/>
      <c r="AM64" s="7"/>
      <c r="AN64" s="7"/>
      <c r="AO64" s="7"/>
    </row>
    <row r="65" spans="1:41" ht="13" x14ac:dyDescent="0.3">
      <c r="B65" s="55" t="s">
        <v>49</v>
      </c>
      <c r="C65" s="5"/>
      <c r="D65" s="7"/>
      <c r="G65" s="1">
        <v>0</v>
      </c>
      <c r="H65" s="5">
        <f t="shared" ref="H65:Q65" si="54">H66-H67</f>
        <v>0</v>
      </c>
      <c r="I65" s="5">
        <f t="shared" si="54"/>
        <v>0</v>
      </c>
      <c r="J65" s="5">
        <f t="shared" si="54"/>
        <v>0</v>
      </c>
      <c r="K65" s="5">
        <f t="shared" si="54"/>
        <v>0</v>
      </c>
      <c r="L65" s="5">
        <f t="shared" si="54"/>
        <v>0</v>
      </c>
      <c r="M65" s="5">
        <f t="shared" si="54"/>
        <v>0</v>
      </c>
      <c r="N65" s="5">
        <f t="shared" si="54"/>
        <v>0</v>
      </c>
      <c r="O65" s="5">
        <f t="shared" si="54"/>
        <v>0</v>
      </c>
      <c r="P65" s="5">
        <f t="shared" si="54"/>
        <v>459.51760725000003</v>
      </c>
      <c r="Q65" s="5">
        <f t="shared" si="54"/>
        <v>0</v>
      </c>
      <c r="R65" s="5">
        <f>R66-R67</f>
        <v>134.63972591000001</v>
      </c>
      <c r="S65" s="5">
        <f>S66-S67</f>
        <v>240.99713378999999</v>
      </c>
      <c r="T65" s="5">
        <f>T66-T67</f>
        <v>0</v>
      </c>
      <c r="U65" s="5">
        <f>U66-U67</f>
        <v>32590.725299999998</v>
      </c>
      <c r="V65" s="5">
        <f>V66-V67</f>
        <v>1133.8113600000033</v>
      </c>
      <c r="AE65" s="117" t="e">
        <f t="shared" ref="AE65:AO66" si="55">+L65/K65-1</f>
        <v>#DIV/0!</v>
      </c>
      <c r="AF65" s="117" t="e">
        <f t="shared" si="55"/>
        <v>#DIV/0!</v>
      </c>
      <c r="AG65" s="117" t="e">
        <f t="shared" si="55"/>
        <v>#DIV/0!</v>
      </c>
      <c r="AH65" s="117" t="e">
        <f t="shared" si="55"/>
        <v>#DIV/0!</v>
      </c>
      <c r="AI65" s="117" t="e">
        <f t="shared" si="55"/>
        <v>#DIV/0!</v>
      </c>
      <c r="AJ65" s="31">
        <f t="shared" si="55"/>
        <v>-1</v>
      </c>
      <c r="AK65" s="46" t="e">
        <f t="shared" si="55"/>
        <v>#DIV/0!</v>
      </c>
      <c r="AL65" s="46">
        <f t="shared" si="55"/>
        <v>0.78994076347938091</v>
      </c>
      <c r="AM65" s="46">
        <f t="shared" si="55"/>
        <v>-1</v>
      </c>
      <c r="AN65" s="46" t="e">
        <f t="shared" si="55"/>
        <v>#DIV/0!</v>
      </c>
      <c r="AO65" s="46">
        <f t="shared" si="55"/>
        <v>-0.96521061284880327</v>
      </c>
    </row>
    <row r="66" spans="1:41" x14ac:dyDescent="0.25">
      <c r="B66" s="56" t="s">
        <v>50</v>
      </c>
      <c r="C66" s="27"/>
      <c r="D66" s="7"/>
      <c r="G66" s="1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459.51760725000003</v>
      </c>
      <c r="Q66" s="27">
        <v>0</v>
      </c>
      <c r="R66" s="27">
        <v>134.63972591000001</v>
      </c>
      <c r="S66" s="27">
        <v>240.99713378999999</v>
      </c>
      <c r="T66" s="27">
        <v>0</v>
      </c>
      <c r="U66" s="27">
        <v>32590.725299999998</v>
      </c>
      <c r="V66" s="27">
        <v>1133.8113600000033</v>
      </c>
      <c r="AE66" s="117" t="e">
        <f t="shared" si="55"/>
        <v>#DIV/0!</v>
      </c>
      <c r="AF66" s="117" t="e">
        <f t="shared" si="55"/>
        <v>#DIV/0!</v>
      </c>
      <c r="AG66" s="117" t="e">
        <f t="shared" si="55"/>
        <v>#DIV/0!</v>
      </c>
      <c r="AH66" s="117" t="e">
        <f t="shared" si="55"/>
        <v>#DIV/0!</v>
      </c>
      <c r="AI66" s="117" t="e">
        <f t="shared" si="55"/>
        <v>#DIV/0!</v>
      </c>
      <c r="AJ66" s="31">
        <f t="shared" si="55"/>
        <v>-1</v>
      </c>
      <c r="AK66" s="46" t="e">
        <f t="shared" si="55"/>
        <v>#DIV/0!</v>
      </c>
      <c r="AL66" s="46">
        <f t="shared" si="55"/>
        <v>0.78994076347938091</v>
      </c>
      <c r="AM66" s="46">
        <f t="shared" si="55"/>
        <v>-1</v>
      </c>
      <c r="AN66" s="46" t="e">
        <f t="shared" si="55"/>
        <v>#DIV/0!</v>
      </c>
      <c r="AO66" s="46">
        <f t="shared" si="55"/>
        <v>-0.96521061284880327</v>
      </c>
    </row>
    <row r="67" spans="1:41" x14ac:dyDescent="0.25">
      <c r="B67" s="1" t="s">
        <v>51</v>
      </c>
      <c r="C67" s="27"/>
      <c r="D67" s="7"/>
      <c r="G67" s="1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AG67" s="7"/>
      <c r="AH67" s="7"/>
      <c r="AI67" s="7"/>
      <c r="AJ67" s="7"/>
      <c r="AK67" s="7"/>
      <c r="AL67" s="7"/>
      <c r="AM67" s="7"/>
      <c r="AN67" s="7"/>
      <c r="AO67" s="7"/>
    </row>
    <row r="68" spans="1:41" ht="13" x14ac:dyDescent="0.3">
      <c r="B68" s="2"/>
      <c r="C68" s="2"/>
      <c r="D68" s="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AG68" s="7"/>
      <c r="AH68" s="7"/>
      <c r="AI68" s="7"/>
      <c r="AJ68" s="7"/>
      <c r="AK68" s="7"/>
      <c r="AL68" s="7"/>
      <c r="AM68" s="7"/>
      <c r="AN68" s="7"/>
      <c r="AO68" s="7"/>
    </row>
    <row r="69" spans="1:41" ht="13" x14ac:dyDescent="0.3">
      <c r="A69" s="4" t="s">
        <v>18</v>
      </c>
      <c r="B69" s="3" t="s">
        <v>21</v>
      </c>
      <c r="C69" s="22">
        <v>47479.542347620001</v>
      </c>
      <c r="D69" s="22">
        <f>+D9-D38</f>
        <v>60053.554536520096</v>
      </c>
      <c r="E69" s="22">
        <f>+E9-E38</f>
        <v>38069.873955370102</v>
      </c>
      <c r="F69" s="22">
        <f>+F9-F38</f>
        <v>881.18429805009509</v>
      </c>
      <c r="G69" s="22">
        <v>-29020.335456639899</v>
      </c>
      <c r="H69" s="22">
        <f t="shared" ref="H69:O69" si="56">+H9-H38</f>
        <v>-64644.572781609779</v>
      </c>
      <c r="I69" s="22">
        <f t="shared" si="56"/>
        <v>-45224.725778750115</v>
      </c>
      <c r="J69" s="22">
        <f t="shared" si="56"/>
        <v>-61618.099310499965</v>
      </c>
      <c r="K69" s="22">
        <f t="shared" si="56"/>
        <v>-57298.912155180064</v>
      </c>
      <c r="L69" s="22">
        <f t="shared" si="56"/>
        <v>-65823.092429270095</v>
      </c>
      <c r="M69" s="22">
        <f t="shared" si="56"/>
        <v>-99424.459674630139</v>
      </c>
      <c r="N69" s="22">
        <f t="shared" si="56"/>
        <v>-144767.13038686127</v>
      </c>
      <c r="O69" s="22">
        <f t="shared" si="56"/>
        <v>-72945.000436498609</v>
      </c>
      <c r="P69" s="22">
        <f t="shared" ref="P69:U69" si="57">+P9-P38</f>
        <v>-177888.91460104025</v>
      </c>
      <c r="Q69" s="22">
        <f t="shared" si="57"/>
        <v>-100050.56327388017</v>
      </c>
      <c r="R69" s="22">
        <f t="shared" si="57"/>
        <v>16105.26561844087</v>
      </c>
      <c r="S69" s="22">
        <f t="shared" si="57"/>
        <v>15311.737203261058</v>
      </c>
      <c r="T69" s="22">
        <f t="shared" si="57"/>
        <v>12267.391071089893</v>
      </c>
      <c r="U69" s="22">
        <f t="shared" si="57"/>
        <v>54814.319267440704</v>
      </c>
      <c r="V69" s="22">
        <f t="shared" ref="V69" si="58">+V9-V38</f>
        <v>-87589.087284129811</v>
      </c>
      <c r="W69" s="41">
        <f t="shared" si="4"/>
        <v>0.26483010507641058</v>
      </c>
      <c r="X69" s="41">
        <f t="shared" ref="X69:AO69" si="59">+E69/D69-1</f>
        <v>-0.36606793304434893</v>
      </c>
      <c r="Y69" s="41">
        <f t="shared" si="59"/>
        <v>-0.9768535010364594</v>
      </c>
      <c r="Z69" s="41">
        <f t="shared" si="59"/>
        <v>-33.933332471829978</v>
      </c>
      <c r="AA69" s="41">
        <f t="shared" si="59"/>
        <v>1.2275611830261939</v>
      </c>
      <c r="AB69" s="41">
        <f t="shared" si="59"/>
        <v>-0.30040954974621259</v>
      </c>
      <c r="AC69" s="41">
        <f t="shared" si="59"/>
        <v>0.36248696370100841</v>
      </c>
      <c r="AD69" s="41">
        <f t="shared" si="59"/>
        <v>-7.009607897113268E-2</v>
      </c>
      <c r="AE69" s="41">
        <f t="shared" si="59"/>
        <v>0.14876687799943533</v>
      </c>
      <c r="AF69" s="41">
        <f t="shared" si="59"/>
        <v>0.5104799243740521</v>
      </c>
      <c r="AG69" s="41">
        <f t="shared" si="59"/>
        <v>0.45605146722060685</v>
      </c>
      <c r="AH69" s="41">
        <f t="shared" si="59"/>
        <v>-0.496121804434697</v>
      </c>
      <c r="AI69" s="41">
        <f t="shared" si="59"/>
        <v>1.4386717874640262</v>
      </c>
      <c r="AJ69" s="41">
        <f t="shared" si="59"/>
        <v>-0.43756718343991119</v>
      </c>
      <c r="AK69" s="41">
        <f t="shared" si="59"/>
        <v>-1.1609712638434031</v>
      </c>
      <c r="AL69" s="41">
        <f t="shared" si="59"/>
        <v>-4.9271364656737093E-2</v>
      </c>
      <c r="AM69" s="41">
        <f t="shared" si="59"/>
        <v>-0.19882434577853048</v>
      </c>
      <c r="AN69" s="41">
        <f t="shared" si="59"/>
        <v>3.4682947620883775</v>
      </c>
      <c r="AO69" s="41">
        <f t="shared" si="59"/>
        <v>-2.5979234706314607</v>
      </c>
    </row>
    <row r="70" spans="1:41" ht="18.5" x14ac:dyDescent="0.35">
      <c r="A70" s="4"/>
      <c r="B70" s="47" t="s">
        <v>47</v>
      </c>
      <c r="C70" s="50"/>
      <c r="D70" s="22"/>
      <c r="E70" s="50">
        <f>+E69/E76</f>
        <v>2.3486910591186314E-3</v>
      </c>
      <c r="F70" s="50">
        <f>+F69/F76</f>
        <v>4.9993016797998072E-5</v>
      </c>
      <c r="G70" s="50">
        <v>-1.4808608049767199E-3</v>
      </c>
      <c r="H70" s="50">
        <f t="shared" ref="H70:O70" si="60">+H69/H76</f>
        <v>-2.9895483727759059E-3</v>
      </c>
      <c r="I70" s="50">
        <f t="shared" si="60"/>
        <v>-1.9039690127680036E-3</v>
      </c>
      <c r="J70" s="50">
        <f t="shared" si="60"/>
        <v>-2.419911604072057E-3</v>
      </c>
      <c r="K70" s="50">
        <f t="shared" si="60"/>
        <v>-2.0462926963213009E-3</v>
      </c>
      <c r="L70" s="50">
        <f t="shared" si="60"/>
        <v>-2.1650977570795665E-3</v>
      </c>
      <c r="M70" s="50">
        <f t="shared" si="60"/>
        <v>-3.1015587036876636E-3</v>
      </c>
      <c r="N70" s="50">
        <f t="shared" si="60"/>
        <v>-4.2152520458655788E-3</v>
      </c>
      <c r="O70" s="50">
        <f t="shared" si="60"/>
        <v>-2.0254219127497615E-3</v>
      </c>
      <c r="P70" s="50">
        <f t="shared" ref="P70:U70" si="61">+P69/P76</f>
        <v>-4.7020567306233349E-3</v>
      </c>
      <c r="Q70" s="50">
        <f t="shared" si="61"/>
        <v>-2.7414683819293427E-3</v>
      </c>
      <c r="R70" s="50">
        <f t="shared" si="61"/>
        <v>3.9937052156007109E-4</v>
      </c>
      <c r="S70" s="50">
        <f t="shared" si="61"/>
        <v>3.4170334182411958E-4</v>
      </c>
      <c r="T70" s="50">
        <f t="shared" si="61"/>
        <v>2.6067957487642342E-4</v>
      </c>
      <c r="U70" s="50">
        <f t="shared" si="61"/>
        <v>1.1160190598478155E-3</v>
      </c>
      <c r="V70" s="50">
        <f t="shared" ref="V70" si="62">+V69/V76</f>
        <v>-1.714867984471373E-3</v>
      </c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ht="13" x14ac:dyDescent="0.3">
      <c r="A71" s="4" t="s">
        <v>19</v>
      </c>
      <c r="B71" s="3" t="s">
        <v>56</v>
      </c>
      <c r="C71" s="22">
        <v>22732.742347619998</v>
      </c>
      <c r="D71" s="22">
        <f>+D9-D36</f>
        <v>22934.45453652009</v>
      </c>
      <c r="E71" s="22">
        <f>+E9-E36</f>
        <v>31733.773955370067</v>
      </c>
      <c r="F71" s="22">
        <f>+F9-F36</f>
        <v>-7670.4157019498816</v>
      </c>
      <c r="G71" s="22">
        <v>-35449.735456639901</v>
      </c>
      <c r="H71" s="22">
        <f t="shared" ref="H71:O71" si="63">+H9-H36</f>
        <v>-74110.839082649851</v>
      </c>
      <c r="I71" s="22">
        <f t="shared" si="63"/>
        <v>-61186.558415920095</v>
      </c>
      <c r="J71" s="22">
        <f t="shared" si="63"/>
        <v>-86712.068911159993</v>
      </c>
      <c r="K71" s="22">
        <f t="shared" si="63"/>
        <v>-126835.55086047004</v>
      </c>
      <c r="L71" s="22">
        <f t="shared" si="63"/>
        <v>-118764.40776827018</v>
      </c>
      <c r="M71" s="22">
        <f t="shared" si="63"/>
        <v>-162837.86421550013</v>
      </c>
      <c r="N71" s="22">
        <f t="shared" si="63"/>
        <v>-217115.58641832136</v>
      </c>
      <c r="O71" s="22">
        <f t="shared" si="63"/>
        <v>-211401.0781640886</v>
      </c>
      <c r="P71" s="22">
        <f t="shared" ref="P71:U71" si="64">+P9-P36</f>
        <v>-289496.82261192071</v>
      </c>
      <c r="Q71" s="22">
        <f t="shared" si="64"/>
        <v>-171537.84570544038</v>
      </c>
      <c r="R71" s="22">
        <f t="shared" si="64"/>
        <v>-48987.952974119049</v>
      </c>
      <c r="S71" s="22">
        <f t="shared" si="64"/>
        <v>-49596.512257498922</v>
      </c>
      <c r="T71" s="22">
        <f t="shared" si="64"/>
        <v>-119704.37292244018</v>
      </c>
      <c r="U71" s="22">
        <f t="shared" si="64"/>
        <v>-76038.385318309185</v>
      </c>
      <c r="V71" s="22">
        <f t="shared" ref="V71" si="65">+V9-V36</f>
        <v>-237814.78666666965</v>
      </c>
      <c r="W71" s="41">
        <f t="shared" si="4"/>
        <v>8.8732008578458199E-3</v>
      </c>
      <c r="X71" s="41">
        <f t="shared" ref="X71:AO71" si="66">+E71/D71-1</f>
        <v>0.38367249610572696</v>
      </c>
      <c r="Y71" s="41">
        <f t="shared" si="66"/>
        <v>-1.2417114243246783</v>
      </c>
      <c r="Z71" s="41">
        <f t="shared" si="66"/>
        <v>3.6216185450846288</v>
      </c>
      <c r="AA71" s="41">
        <f t="shared" si="66"/>
        <v>1.0905893408795113</v>
      </c>
      <c r="AB71" s="41">
        <f t="shared" si="66"/>
        <v>-0.17439123381556032</v>
      </c>
      <c r="AC71" s="41">
        <f t="shared" si="66"/>
        <v>0.41717513055283129</v>
      </c>
      <c r="AD71" s="41">
        <f t="shared" si="66"/>
        <v>0.46272084674185532</v>
      </c>
      <c r="AE71" s="41">
        <f t="shared" si="66"/>
        <v>-6.3634706810859476E-2</v>
      </c>
      <c r="AF71" s="41">
        <f t="shared" si="66"/>
        <v>0.37109987137918332</v>
      </c>
      <c r="AG71" s="41">
        <f t="shared" si="66"/>
        <v>0.33332371720983711</v>
      </c>
      <c r="AH71" s="41">
        <f t="shared" si="66"/>
        <v>-2.6320119842628387E-2</v>
      </c>
      <c r="AI71" s="41">
        <f t="shared" si="66"/>
        <v>0.36941980204667901</v>
      </c>
      <c r="AJ71" s="41">
        <f t="shared" si="66"/>
        <v>-0.40746207796763256</v>
      </c>
      <c r="AK71" s="41">
        <f t="shared" si="66"/>
        <v>-0.71441897983119307</v>
      </c>
      <c r="AL71" s="41">
        <f t="shared" si="66"/>
        <v>1.2422631411061147E-2</v>
      </c>
      <c r="AM71" s="41">
        <f t="shared" si="66"/>
        <v>1.4135643309140362</v>
      </c>
      <c r="AN71" s="41">
        <f t="shared" si="66"/>
        <v>-0.36478189173943887</v>
      </c>
      <c r="AO71" s="41">
        <f t="shared" si="66"/>
        <v>2.1275622920073571</v>
      </c>
    </row>
    <row r="72" spans="1:41" ht="18.5" x14ac:dyDescent="0.35">
      <c r="A72" s="4"/>
      <c r="B72" s="47" t="s">
        <v>47</v>
      </c>
      <c r="C72" s="50"/>
      <c r="D72" s="47"/>
      <c r="E72" s="50">
        <f>+E71/E76</f>
        <v>1.9577903317580026E-3</v>
      </c>
      <c r="F72" s="50">
        <f>+F71/F76</f>
        <v>-4.3517255344171899E-4</v>
      </c>
      <c r="G72" s="50">
        <v>-1.80894269340779E-3</v>
      </c>
      <c r="H72" s="50">
        <f t="shared" ref="H72:O72" si="67">+H71/H76</f>
        <v>-3.4273246593041471E-3</v>
      </c>
      <c r="I72" s="50">
        <f t="shared" si="67"/>
        <v>-2.5759650106396029E-3</v>
      </c>
      <c r="J72" s="50">
        <f t="shared" si="67"/>
        <v>-3.4054205520658624E-3</v>
      </c>
      <c r="K72" s="50">
        <f t="shared" si="67"/>
        <v>-4.5296263331625047E-3</v>
      </c>
      <c r="L72" s="50">
        <f t="shared" si="67"/>
        <v>-3.9064793735765256E-3</v>
      </c>
      <c r="M72" s="50">
        <f t="shared" si="67"/>
        <v>-5.0797479483448158E-3</v>
      </c>
      <c r="N72" s="50">
        <f t="shared" si="67"/>
        <v>-6.3218557789565411E-3</v>
      </c>
      <c r="O72" s="50">
        <f t="shared" si="67"/>
        <v>-5.8698522658206572E-3</v>
      </c>
      <c r="P72" s="50">
        <f t="shared" ref="P72:U72" si="68">+P71/P76</f>
        <v>-7.6521377754726677E-3</v>
      </c>
      <c r="Q72" s="50">
        <f t="shared" si="68"/>
        <v>-4.7002791880184193E-3</v>
      </c>
      <c r="R72" s="50">
        <f t="shared" si="68"/>
        <v>-1.2147793642740404E-3</v>
      </c>
      <c r="S72" s="50">
        <f t="shared" si="68"/>
        <v>-1.106817192343067E-3</v>
      </c>
      <c r="T72" s="50">
        <f t="shared" si="68"/>
        <v>-2.5436936723904576E-3</v>
      </c>
      <c r="U72" s="50">
        <f t="shared" si="68"/>
        <v>-1.5481408586185204E-3</v>
      </c>
      <c r="V72" s="50">
        <f t="shared" ref="V72" si="69">+V71/V76</f>
        <v>-4.6560704824521451E-3</v>
      </c>
      <c r="W72" s="22"/>
      <c r="X72" s="22"/>
      <c r="Y72" s="22"/>
      <c r="Z72" s="22"/>
      <c r="AA72" s="22"/>
      <c r="AB72" s="22"/>
      <c r="AC72" s="41"/>
      <c r="AD72" s="41"/>
      <c r="AE72" s="41"/>
      <c r="AF72" s="41"/>
      <c r="AG72" s="41"/>
      <c r="AH72" s="41"/>
      <c r="AI72" s="41"/>
      <c r="AK72" s="6"/>
    </row>
    <row r="73" spans="1:41" ht="13" x14ac:dyDescent="0.3">
      <c r="B73" s="34" t="s">
        <v>38</v>
      </c>
      <c r="C73" s="49"/>
      <c r="D73" s="34"/>
      <c r="E73" s="34"/>
      <c r="F73" s="49">
        <f>F74+F75</f>
        <v>13694.998030343</v>
      </c>
      <c r="G73" s="49">
        <v>51149.119724154101</v>
      </c>
      <c r="H73" s="49">
        <f t="shared" ref="H73:O73" si="70">H74+H75</f>
        <v>29620.878555484</v>
      </c>
      <c r="I73" s="49">
        <f t="shared" si="70"/>
        <v>61187.036130853681</v>
      </c>
      <c r="J73" s="49">
        <f t="shared" si="70"/>
        <v>86712.130135660904</v>
      </c>
      <c r="K73" s="49">
        <f t="shared" si="70"/>
        <v>126835.6480981996</v>
      </c>
      <c r="L73" s="49">
        <f t="shared" si="70"/>
        <v>118764.39874893401</v>
      </c>
      <c r="M73" s="49">
        <f t="shared" si="70"/>
        <v>162837.86578271171</v>
      </c>
      <c r="N73" s="49">
        <f t="shared" si="70"/>
        <v>217115.5857855347</v>
      </c>
      <c r="O73" s="49">
        <f t="shared" si="70"/>
        <v>211401.1038542063</v>
      </c>
      <c r="P73" s="49">
        <f t="shared" ref="P73:V73" si="71">P74+P75</f>
        <v>289496.82818525389</v>
      </c>
      <c r="Q73" s="49">
        <f t="shared" si="71"/>
        <v>171537.83335749901</v>
      </c>
      <c r="R73" s="49">
        <f t="shared" si="71"/>
        <v>48988.022569393201</v>
      </c>
      <c r="S73" s="49">
        <f t="shared" si="71"/>
        <v>49596.481950702655</v>
      </c>
      <c r="T73" s="49">
        <f t="shared" si="71"/>
        <v>119704.39161610691</v>
      </c>
      <c r="U73" s="49">
        <f t="shared" si="71"/>
        <v>76038.413357903104</v>
      </c>
      <c r="V73" s="49">
        <f t="shared" si="71"/>
        <v>237814.78292902501</v>
      </c>
      <c r="W73" s="6"/>
      <c r="X73" s="6"/>
      <c r="Y73" s="6"/>
      <c r="Z73" s="6"/>
      <c r="AA73" s="6"/>
      <c r="AB73" s="6"/>
      <c r="AC73" s="6"/>
      <c r="AD73" s="6"/>
      <c r="AE73" s="1"/>
      <c r="AF73" s="1"/>
    </row>
    <row r="74" spans="1:41" ht="13" x14ac:dyDescent="0.25">
      <c r="B74" s="34" t="s">
        <v>40</v>
      </c>
      <c r="C74" s="54"/>
      <c r="D74" s="34"/>
      <c r="E74" s="34"/>
      <c r="F74" s="54">
        <v>15156.366030343001</v>
      </c>
      <c r="G74" s="54">
        <v>52940.744084334103</v>
      </c>
      <c r="H74" s="54">
        <v>31405.629423738799</v>
      </c>
      <c r="I74" s="54">
        <f>55938.3725869638+7457</f>
        <v>63395.3725869638</v>
      </c>
      <c r="J74" s="54">
        <f>90238.8003120252-1737.7-673.2</f>
        <v>87827.900312025202</v>
      </c>
      <c r="K74" s="54">
        <f>121803.92303867+2166.9+0.1</f>
        <v>123970.92303866999</v>
      </c>
      <c r="L74" s="54">
        <v>117764.763221524</v>
      </c>
      <c r="M74" s="54">
        <v>132801.11548874801</v>
      </c>
      <c r="N74" s="54">
        <v>223533.56255615599</v>
      </c>
      <c r="O74" s="54">
        <v>217833.14957345501</v>
      </c>
      <c r="P74" s="54">
        <v>75411.697559606895</v>
      </c>
      <c r="Q74" s="54">
        <v>179413.48423615901</v>
      </c>
      <c r="R74" s="54">
        <v>64254.061217443203</v>
      </c>
      <c r="S74" s="54">
        <v>1389.05517618825</v>
      </c>
      <c r="T74" s="54">
        <v>88202.5026428649</v>
      </c>
      <c r="U74" s="54">
        <v>85936.399644444304</v>
      </c>
      <c r="V74" s="54">
        <v>253371.34292902501</v>
      </c>
      <c r="W74" s="19"/>
      <c r="X74" s="19"/>
      <c r="Y74" s="19"/>
      <c r="Z74" s="19"/>
      <c r="AA74" s="19"/>
      <c r="AB74" s="19"/>
      <c r="AC74" s="19"/>
      <c r="AD74" s="19"/>
    </row>
    <row r="75" spans="1:41" ht="13.5" thickBot="1" x14ac:dyDescent="0.3">
      <c r="B75" s="60" t="s">
        <v>41</v>
      </c>
      <c r="C75" s="61"/>
      <c r="D75" s="60"/>
      <c r="E75" s="60"/>
      <c r="F75" s="61">
        <v>-1461.3679999999999</v>
      </c>
      <c r="G75" s="61">
        <v>-1791.6243601799999</v>
      </c>
      <c r="H75" s="61">
        <v>-1784.7508682548</v>
      </c>
      <c r="I75" s="61">
        <v>-2208.3364561101198</v>
      </c>
      <c r="J75" s="61">
        <v>-1115.7701763642999</v>
      </c>
      <c r="K75" s="61">
        <v>2864.7250595296</v>
      </c>
      <c r="L75" s="61">
        <v>999.63552741000001</v>
      </c>
      <c r="M75" s="61">
        <v>30036.750293963702</v>
      </c>
      <c r="N75" s="61">
        <v>-6417.9767706212997</v>
      </c>
      <c r="O75" s="61">
        <v>-6432.0457192487002</v>
      </c>
      <c r="P75" s="61">
        <v>214085.130625647</v>
      </c>
      <c r="Q75" s="61">
        <v>-7875.6508786599998</v>
      </c>
      <c r="R75" s="61">
        <v>-15266.03864805</v>
      </c>
      <c r="S75" s="61">
        <v>48207.426774514402</v>
      </c>
      <c r="T75" s="61">
        <v>31501.888973241999</v>
      </c>
      <c r="U75" s="61">
        <v>-9897.9862865411997</v>
      </c>
      <c r="V75" s="61">
        <v>-15556.56</v>
      </c>
    </row>
    <row r="76" spans="1:41" ht="15" thickTop="1" x14ac:dyDescent="0.25">
      <c r="B76" s="203" t="s">
        <v>142</v>
      </c>
      <c r="C76" s="62">
        <v>11613320</v>
      </c>
      <c r="D76" s="62">
        <v>13889052.9</v>
      </c>
      <c r="E76" s="62">
        <v>16208974.699999999</v>
      </c>
      <c r="F76" s="62">
        <v>17626147.699999999</v>
      </c>
      <c r="G76" s="62">
        <v>19802010.600000001</v>
      </c>
      <c r="H76" s="62">
        <v>21623524.600000001</v>
      </c>
      <c r="I76" s="62">
        <v>23752868.600000001</v>
      </c>
      <c r="J76" s="62">
        <v>25462954.600000001</v>
      </c>
      <c r="K76" s="62">
        <v>28001327.600000001</v>
      </c>
      <c r="L76" s="62">
        <v>30401903.199999999</v>
      </c>
      <c r="M76" s="62">
        <v>32056288.199999999</v>
      </c>
      <c r="N76" s="62">
        <v>34343647.5</v>
      </c>
      <c r="O76" s="62">
        <v>36014718.700000003</v>
      </c>
      <c r="P76" s="48">
        <v>37832149.799999997</v>
      </c>
      <c r="Q76" s="48">
        <v>36495246.100000001</v>
      </c>
      <c r="R76" s="48">
        <v>40326625.899999999</v>
      </c>
      <c r="S76" s="48">
        <v>44810030.600000001</v>
      </c>
      <c r="T76" s="48">
        <v>47059272.200000003</v>
      </c>
      <c r="U76" s="62">
        <v>49115934.700000003</v>
      </c>
      <c r="V76" s="62">
        <v>51076285.799999997</v>
      </c>
      <c r="W76" s="48"/>
      <c r="X76" s="48"/>
      <c r="Y76" s="48"/>
    </row>
    <row r="79" spans="1:41" ht="12.75" customHeight="1" x14ac:dyDescent="0.25">
      <c r="B79" s="203" t="s">
        <v>140</v>
      </c>
    </row>
    <row r="80" spans="1:41" ht="14.5" x14ac:dyDescent="0.25">
      <c r="B80" s="1" t="s">
        <v>83</v>
      </c>
    </row>
    <row r="81" spans="1:40" ht="14.5" x14ac:dyDescent="0.25">
      <c r="B81" s="1" t="s">
        <v>84</v>
      </c>
    </row>
    <row r="83" spans="1:40" x14ac:dyDescent="0.25">
      <c r="V83" s="6"/>
    </row>
    <row r="84" spans="1:40" x14ac:dyDescent="0.25">
      <c r="A84" s="205" t="s">
        <v>57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N84" s="152"/>
    </row>
    <row r="86" spans="1:40" x14ac:dyDescent="0.25">
      <c r="P86" s="6"/>
      <c r="Q86" s="6"/>
      <c r="R86" s="6"/>
      <c r="S86" s="6"/>
      <c r="T86" s="6"/>
      <c r="U86" s="6"/>
      <c r="V86" s="152"/>
    </row>
    <row r="87" spans="1:40" x14ac:dyDescent="0.25">
      <c r="Q87" s="6"/>
      <c r="R87" s="6"/>
      <c r="S87" s="6"/>
      <c r="T87" s="6"/>
      <c r="U87" s="6"/>
      <c r="V87" s="6"/>
    </row>
  </sheetData>
  <mergeCells count="6">
    <mergeCell ref="A84:AH84"/>
    <mergeCell ref="W6:AN6"/>
    <mergeCell ref="A2:AN2"/>
    <mergeCell ref="A3:AN3"/>
    <mergeCell ref="A4:AN4"/>
    <mergeCell ref="C6:U6"/>
  </mergeCells>
  <phoneticPr fontId="0" type="noConversion"/>
  <printOptions horizontalCentered="1" verticalCentered="1"/>
  <pageMargins left="0.23622047244094491" right="0.27559055118110237" top="0.35433070866141736" bottom="0.19685039370078741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085-3024-418F-B92A-0CCFC64BE626}">
  <sheetPr>
    <pageSetUpPr fitToPage="1"/>
  </sheetPr>
  <dimension ref="A2:AO88"/>
  <sheetViews>
    <sheetView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8" sqref="B7:B8"/>
    </sheetView>
  </sheetViews>
  <sheetFormatPr baseColWidth="10" defaultColWidth="11.453125" defaultRowHeight="12.5" x14ac:dyDescent="0.25"/>
  <cols>
    <col min="1" max="1" width="2.1796875" style="1" customWidth="1"/>
    <col min="2" max="2" width="41.81640625" style="1" customWidth="1"/>
    <col min="3" max="5" width="10.7265625" style="1" customWidth="1"/>
    <col min="6" max="9" width="10.7265625" style="1" hidden="1" customWidth="1"/>
    <col min="10" max="15" width="11.26953125" style="1" hidden="1" customWidth="1"/>
    <col min="16" max="18" width="11.26953125" style="1" bestFit="1" customWidth="1"/>
    <col min="19" max="19" width="10.81640625" style="1" customWidth="1"/>
    <col min="20" max="20" width="11.26953125" style="1" bestFit="1" customWidth="1"/>
    <col min="21" max="22" width="11.26953125" style="1" customWidth="1"/>
    <col min="23" max="23" width="6.453125" style="7" hidden="1" customWidth="1"/>
    <col min="24" max="24" width="6.26953125" style="7" hidden="1" customWidth="1"/>
    <col min="25" max="25" width="6.7265625" style="7" hidden="1" customWidth="1"/>
    <col min="26" max="26" width="6.81640625" style="7" hidden="1" customWidth="1"/>
    <col min="27" max="27" width="6.26953125" style="7" hidden="1" customWidth="1"/>
    <col min="28" max="28" width="7" style="7" hidden="1" customWidth="1"/>
    <col min="29" max="29" width="6.1796875" style="7" hidden="1" customWidth="1"/>
    <col min="30" max="30" width="6.54296875" style="7" hidden="1" customWidth="1"/>
    <col min="31" max="31" width="0.1796875" style="1" hidden="1" customWidth="1"/>
    <col min="32" max="32" width="6.26953125" style="1" hidden="1" customWidth="1"/>
    <col min="33" max="33" width="6.1796875" style="1" hidden="1" customWidth="1"/>
    <col min="34" max="34" width="6.26953125" style="6" hidden="1" customWidth="1"/>
    <col min="35" max="35" width="7.1796875" style="1" bestFit="1" customWidth="1"/>
    <col min="36" max="36" width="6.26953125" style="1" bestFit="1" customWidth="1"/>
    <col min="37" max="37" width="6.7265625" style="1" bestFit="1" customWidth="1"/>
    <col min="38" max="38" width="6.81640625" style="1" bestFit="1" customWidth="1"/>
    <col min="39" max="39" width="9.7265625" style="1" bestFit="1" customWidth="1"/>
    <col min="40" max="41" width="6.81640625" style="1" bestFit="1" customWidth="1"/>
    <col min="42" max="16384" width="11.453125" style="1"/>
  </cols>
  <sheetData>
    <row r="2" spans="1:41" ht="13" x14ac:dyDescent="0.3">
      <c r="A2" s="207" t="s">
        <v>43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</row>
    <row r="3" spans="1:41" ht="13" x14ac:dyDescent="0.3">
      <c r="A3" s="210" t="s">
        <v>79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</row>
    <row r="4" spans="1:41" x14ac:dyDescent="0.25">
      <c r="A4" s="211" t="s">
        <v>42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</row>
    <row r="5" spans="1:41" ht="13" thickBot="1" x14ac:dyDescent="0.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  <c r="Y5" s="10"/>
      <c r="Z5" s="10"/>
      <c r="AA5" s="10"/>
      <c r="AB5" s="10"/>
      <c r="AC5" s="10"/>
      <c r="AD5" s="10"/>
      <c r="AE5" s="11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ht="13.5" thickTop="1" x14ac:dyDescent="0.3">
      <c r="C6" s="206" t="s">
        <v>45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 t="s">
        <v>20</v>
      </c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x14ac:dyDescent="0.25">
      <c r="B7" s="12" t="s">
        <v>0</v>
      </c>
      <c r="C7" s="13">
        <v>2006</v>
      </c>
      <c r="D7" s="13">
        <v>2007</v>
      </c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2013</v>
      </c>
      <c r="K7" s="13">
        <v>2014</v>
      </c>
      <c r="L7" s="13">
        <v>2015</v>
      </c>
      <c r="M7" s="13">
        <v>2016</v>
      </c>
      <c r="N7" s="13">
        <v>2017</v>
      </c>
      <c r="O7" s="13">
        <v>2018</v>
      </c>
      <c r="P7" s="13">
        <v>2019</v>
      </c>
      <c r="Q7" s="13">
        <v>2020</v>
      </c>
      <c r="R7" s="13">
        <v>2021</v>
      </c>
      <c r="S7" s="13">
        <v>2022</v>
      </c>
      <c r="T7" s="13">
        <v>2023</v>
      </c>
      <c r="U7" s="13">
        <v>2024</v>
      </c>
      <c r="V7" s="13">
        <v>2025</v>
      </c>
      <c r="W7" s="14" t="s">
        <v>58</v>
      </c>
      <c r="X7" s="14" t="s">
        <v>59</v>
      </c>
      <c r="Y7" s="14" t="s">
        <v>60</v>
      </c>
      <c r="Z7" s="14" t="s">
        <v>61</v>
      </c>
      <c r="AA7" s="14" t="s">
        <v>62</v>
      </c>
      <c r="AB7" s="14" t="s">
        <v>63</v>
      </c>
      <c r="AC7" s="14" t="s">
        <v>64</v>
      </c>
      <c r="AD7" s="14" t="s">
        <v>65</v>
      </c>
      <c r="AE7" s="14" t="s">
        <v>66</v>
      </c>
      <c r="AF7" s="14" t="s">
        <v>67</v>
      </c>
      <c r="AG7" s="14" t="s">
        <v>68</v>
      </c>
      <c r="AH7" s="14" t="s">
        <v>77</v>
      </c>
      <c r="AI7" s="14" t="s">
        <v>69</v>
      </c>
      <c r="AJ7" s="14" t="s">
        <v>70</v>
      </c>
      <c r="AK7" s="14" t="s">
        <v>71</v>
      </c>
      <c r="AL7" s="14" t="s">
        <v>72</v>
      </c>
      <c r="AM7" s="14" t="s">
        <v>75</v>
      </c>
      <c r="AN7" s="14" t="s">
        <v>76</v>
      </c>
      <c r="AO7" s="14" t="s">
        <v>80</v>
      </c>
    </row>
    <row r="8" spans="1:41" x14ac:dyDescent="0.25">
      <c r="C8" s="7"/>
      <c r="D8" s="7"/>
    </row>
    <row r="9" spans="1:41" ht="13" x14ac:dyDescent="0.3">
      <c r="A9" s="1">
        <v>1</v>
      </c>
      <c r="B9" s="3" t="s">
        <v>10</v>
      </c>
      <c r="C9" s="22">
        <f>+C11+C34</f>
        <v>1290087.0767487001</v>
      </c>
      <c r="D9" s="22">
        <f t="shared" ref="D9:J9" si="0">+D11+D34</f>
        <v>1645526.45069768</v>
      </c>
      <c r="E9" s="22">
        <f t="shared" si="0"/>
        <v>2037221.8510062599</v>
      </c>
      <c r="F9" s="22">
        <f t="shared" si="0"/>
        <v>1884287.8145931102</v>
      </c>
      <c r="G9" s="22">
        <f t="shared" si="0"/>
        <v>2158704.7623588</v>
      </c>
      <c r="H9" s="22">
        <f t="shared" si="0"/>
        <v>2326415.8681216408</v>
      </c>
      <c r="I9" s="22">
        <f t="shared" si="0"/>
        <v>2564426.2499665492</v>
      </c>
      <c r="J9" s="22">
        <f t="shared" si="0"/>
        <v>2771880.9691307195</v>
      </c>
      <c r="K9" s="22">
        <v>2988353.1738017099</v>
      </c>
      <c r="L9" s="22">
        <f t="shared" ref="L9:Q9" si="1">+L11+L34</f>
        <v>3241326.1867991304</v>
      </c>
      <c r="M9" s="22">
        <f t="shared" si="1"/>
        <v>3529326.2086574403</v>
      </c>
      <c r="N9" s="22">
        <f t="shared" si="1"/>
        <v>3714586.4625767497</v>
      </c>
      <c r="O9" s="22">
        <f t="shared" si="1"/>
        <v>3787154.6032778001</v>
      </c>
      <c r="P9" s="22">
        <f t="shared" si="1"/>
        <v>4237624.58203479</v>
      </c>
      <c r="Q9" s="22">
        <f t="shared" si="1"/>
        <v>3736356.9831871693</v>
      </c>
      <c r="R9" s="22">
        <f>+R11+R34</f>
        <v>5042384.7108314699</v>
      </c>
      <c r="S9" s="22">
        <f>+S11+S34</f>
        <v>5988806.712050939</v>
      </c>
      <c r="T9" s="22">
        <f>+T11+T34</f>
        <v>5846983.8803970693</v>
      </c>
      <c r="U9" s="22">
        <f>+U11+U34</f>
        <v>6051156.2971826801</v>
      </c>
      <c r="V9" s="22">
        <f>+V11+V34</f>
        <v>6074460.2206947207</v>
      </c>
      <c r="W9" s="41">
        <f t="shared" ref="W9:AN9" si="2">+D9/C9-1</f>
        <v>0.27551580072002912</v>
      </c>
      <c r="X9" s="41">
        <f t="shared" si="2"/>
        <v>0.23803652633022487</v>
      </c>
      <c r="Y9" s="41">
        <f t="shared" si="2"/>
        <v>-7.5069897928696339E-2</v>
      </c>
      <c r="Z9" s="41">
        <f t="shared" si="2"/>
        <v>0.14563430577878411</v>
      </c>
      <c r="AA9" s="41">
        <f t="shared" si="2"/>
        <v>7.7690617395768324E-2</v>
      </c>
      <c r="AB9" s="41">
        <f t="shared" si="2"/>
        <v>0.10230775378826795</v>
      </c>
      <c r="AC9" s="41">
        <f t="shared" si="2"/>
        <v>8.0897128223857528E-2</v>
      </c>
      <c r="AD9" s="41">
        <f t="shared" si="2"/>
        <v>7.8095779393758669E-2</v>
      </c>
      <c r="AE9" s="41">
        <f t="shared" si="2"/>
        <v>8.4652983862544717E-2</v>
      </c>
      <c r="AF9" s="41">
        <f t="shared" si="2"/>
        <v>8.8852526793273823E-2</v>
      </c>
      <c r="AG9" s="41">
        <f>+N9/M9-1</f>
        <v>5.249167772161889E-2</v>
      </c>
      <c r="AH9" s="41">
        <f>+O9/N9-1</f>
        <v>1.9535994499563003E-2</v>
      </c>
      <c r="AI9" s="41">
        <f>+P9/O9-1</f>
        <v>0.11894681520714934</v>
      </c>
      <c r="AJ9" s="41">
        <f t="shared" si="2"/>
        <v>-0.11828976096011923</v>
      </c>
      <c r="AK9" s="41">
        <f t="shared" si="2"/>
        <v>0.34954575633997353</v>
      </c>
      <c r="AL9" s="41">
        <f t="shared" si="2"/>
        <v>0.18769333470063776</v>
      </c>
      <c r="AM9" s="41">
        <f t="shared" si="2"/>
        <v>-2.3681317242796873E-2</v>
      </c>
      <c r="AN9" s="41">
        <f t="shared" si="2"/>
        <v>3.4919271364870941E-2</v>
      </c>
      <c r="AO9" s="41">
        <f>+V9/U9-1</f>
        <v>3.8511521381277003E-3</v>
      </c>
    </row>
    <row r="10" spans="1:41" ht="13" x14ac:dyDescent="0.3">
      <c r="B10" s="3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pans="1:41" ht="13" x14ac:dyDescent="0.3">
      <c r="B11" s="3" t="s">
        <v>30</v>
      </c>
      <c r="C11" s="21">
        <f>+C12+C30+C31+C32</f>
        <v>1289914.1333319002</v>
      </c>
      <c r="D11" s="21">
        <f t="shared" ref="D11:J11" si="3">+D12+D30+D31+D32</f>
        <v>1645367.5506976801</v>
      </c>
      <c r="E11" s="21">
        <f t="shared" si="3"/>
        <v>2036910.0510062599</v>
      </c>
      <c r="F11" s="21">
        <f t="shared" si="3"/>
        <v>1884287.8145931102</v>
      </c>
      <c r="G11" s="21">
        <f t="shared" si="3"/>
        <v>2157734.2894757101</v>
      </c>
      <c r="H11" s="21">
        <f t="shared" si="3"/>
        <v>2326176.8214016706</v>
      </c>
      <c r="I11" s="21">
        <f t="shared" si="3"/>
        <v>2560494.6999665494</v>
      </c>
      <c r="J11" s="21">
        <f t="shared" si="3"/>
        <v>2771588.7862340496</v>
      </c>
      <c r="K11" s="21">
        <v>2986951.9409435699</v>
      </c>
      <c r="L11" s="21">
        <f t="shared" ref="L11:Q11" si="4">+L12+L30+L31+L32</f>
        <v>3240406.7253868002</v>
      </c>
      <c r="M11" s="21">
        <f t="shared" si="4"/>
        <v>3524846.7212594501</v>
      </c>
      <c r="N11" s="21">
        <f t="shared" si="4"/>
        <v>3707772.5325299199</v>
      </c>
      <c r="O11" s="21">
        <f t="shared" si="4"/>
        <v>3785684.4350563101</v>
      </c>
      <c r="P11" s="21">
        <f t="shared" si="4"/>
        <v>4137248.9070347901</v>
      </c>
      <c r="Q11" s="21">
        <f t="shared" si="4"/>
        <v>3661356.9831871693</v>
      </c>
      <c r="R11" s="21">
        <f>+R12+R30+R31+R32</f>
        <v>5035849.76188647</v>
      </c>
      <c r="S11" s="21">
        <f>+S12+S30+S31+S32</f>
        <v>5981196.576960939</v>
      </c>
      <c r="T11" s="21">
        <f>+T12+T30+T31+T32</f>
        <v>5839633.1357290689</v>
      </c>
      <c r="U11" s="21">
        <f>+U12+U30+U31+U32</f>
        <v>6043554.5785786798</v>
      </c>
      <c r="V11" s="21">
        <f>+V12+V30+V31+V32</f>
        <v>6058031.2703869808</v>
      </c>
      <c r="W11" s="29">
        <f t="shared" ref="W11:W27" si="5">+D11/C11-1</f>
        <v>0.27556362720643213</v>
      </c>
      <c r="X11" s="29">
        <f t="shared" ref="X11:X27" si="6">+E11/D11-1</f>
        <v>0.23796658694439143</v>
      </c>
      <c r="Y11" s="29">
        <f t="shared" ref="Y11:Y27" si="7">+F11/E11-1</f>
        <v>-7.4928314256072492E-2</v>
      </c>
      <c r="Z11" s="29">
        <f t="shared" ref="Z11:Z27" si="8">+G11/F11-1</f>
        <v>0.14511927146418846</v>
      </c>
      <c r="AA11" s="29">
        <f t="shared" ref="AA11:AA27" si="9">+H11/G11-1</f>
        <v>7.8064538691132723E-2</v>
      </c>
      <c r="AB11" s="29">
        <f t="shared" ref="AB11:AB27" si="10">+I11/H11-1</f>
        <v>0.10073089732864204</v>
      </c>
      <c r="AC11" s="29">
        <f t="shared" ref="AC11:AC27" si="11">+J11/I11-1</f>
        <v>8.244269604239296E-2</v>
      </c>
      <c r="AD11" s="29">
        <f t="shared" ref="AD11:AD27" si="12">+K11/J11-1</f>
        <v>7.770386277329E-2</v>
      </c>
      <c r="AE11" s="29">
        <f t="shared" ref="AE11:AE27" si="13">+L11/K11-1</f>
        <v>8.4853988097031374E-2</v>
      </c>
      <c r="AF11" s="29">
        <f t="shared" ref="AF11:AF27" si="14">+M11/L11-1</f>
        <v>8.7779103050311225E-2</v>
      </c>
      <c r="AG11" s="29">
        <f t="shared" ref="AG11:AG27" si="15">+N11/M11-1</f>
        <v>5.1896103784367931E-2</v>
      </c>
      <c r="AH11" s="29">
        <f>+O11/N11-1</f>
        <v>2.1013128999374908E-2</v>
      </c>
      <c r="AI11" s="29">
        <f t="shared" ref="AI11:AI27" si="16">+P11/O11-1</f>
        <v>9.2866819199960871E-2</v>
      </c>
      <c r="AJ11" s="29">
        <f t="shared" ref="AJ11:AJ27" si="17">+Q11/P11-1</f>
        <v>-0.11502617670366311</v>
      </c>
      <c r="AK11" s="29">
        <f t="shared" ref="AK11:AK27" si="18">+R11/Q11-1</f>
        <v>0.37540528962647635</v>
      </c>
      <c r="AL11" s="29">
        <f t="shared" ref="AL11:AL27" si="19">+S11/R11-1</f>
        <v>0.18772339521112613</v>
      </c>
      <c r="AM11" s="29">
        <f t="shared" ref="AM11:AO27" si="20">+T11/S11-1</f>
        <v>-2.3668080359899979E-2</v>
      </c>
      <c r="AN11" s="29">
        <f t="shared" si="20"/>
        <v>3.4920248945424781E-2</v>
      </c>
      <c r="AO11" s="29">
        <f t="shared" si="20"/>
        <v>2.3953935751013233E-3</v>
      </c>
    </row>
    <row r="12" spans="1:41" x14ac:dyDescent="0.25">
      <c r="B12" s="23" t="s">
        <v>29</v>
      </c>
      <c r="C12" s="6">
        <v>1242928.15968631</v>
      </c>
      <c r="D12" s="6">
        <v>1582160.9935311701</v>
      </c>
      <c r="E12" s="6">
        <f t="shared" ref="E12:J12" si="21">+E13+E14+E17+E21+E24+E27</f>
        <v>1968153.8610938299</v>
      </c>
      <c r="F12" s="6">
        <f t="shared" si="21"/>
        <v>1807855.7635240301</v>
      </c>
      <c r="G12" s="6">
        <f t="shared" si="21"/>
        <v>1960731.2706047602</v>
      </c>
      <c r="H12" s="6">
        <f t="shared" si="21"/>
        <v>2132802.0537888603</v>
      </c>
      <c r="I12" s="6">
        <f t="shared" si="21"/>
        <v>2346411.1776509797</v>
      </c>
      <c r="J12" s="6">
        <f t="shared" si="21"/>
        <v>2573142.8184514297</v>
      </c>
      <c r="K12" s="6">
        <v>2760163.98321024</v>
      </c>
      <c r="L12" s="6">
        <f t="shared" ref="L12:Q12" si="22">+L13+L14+L17+L21+L24+L27</f>
        <v>2989926.23998552</v>
      </c>
      <c r="M12" s="6">
        <f t="shared" si="22"/>
        <v>3253883.0713634798</v>
      </c>
      <c r="N12" s="6">
        <f t="shared" si="22"/>
        <v>3430940.3209138997</v>
      </c>
      <c r="O12" s="6">
        <f t="shared" si="22"/>
        <v>3495888.9691003305</v>
      </c>
      <c r="P12" s="6">
        <f t="shared" si="22"/>
        <v>3837178.3266032501</v>
      </c>
      <c r="Q12" s="6">
        <f t="shared" si="22"/>
        <v>3377098.7732409295</v>
      </c>
      <c r="R12" s="6">
        <f>+R13+R14+R17+R21+R24+R27</f>
        <v>4404563.7512004897</v>
      </c>
      <c r="S12" s="6">
        <f>+S13+S14+S17+S21+S24+S27++S28+S29</f>
        <v>5093588.3193809297</v>
      </c>
      <c r="T12" s="6">
        <f>+T13+T14+T17+T21+T24+T27++T28+T29</f>
        <v>5229639.734657919</v>
      </c>
      <c r="U12" s="6">
        <f>+U13+U14+U17+U21+U24+U27++U28+U29</f>
        <v>5355821.2131532095</v>
      </c>
      <c r="V12" s="6">
        <f>+V13+V14+V17+V21+V24+V27++V28+V29</f>
        <v>5383417.7931255503</v>
      </c>
      <c r="W12" s="31">
        <f t="shared" si="5"/>
        <v>0.27293036303117924</v>
      </c>
      <c r="X12" s="31">
        <f t="shared" si="6"/>
        <v>0.24396560725541327</v>
      </c>
      <c r="Y12" s="31">
        <f t="shared" si="7"/>
        <v>-8.1445917790548994E-2</v>
      </c>
      <c r="Z12" s="31">
        <f t="shared" si="8"/>
        <v>8.456178317164631E-2</v>
      </c>
      <c r="AA12" s="31">
        <f t="shared" si="9"/>
        <v>8.7758473465375575E-2</v>
      </c>
      <c r="AB12" s="31">
        <f t="shared" si="10"/>
        <v>0.10015421894528331</v>
      </c>
      <c r="AC12" s="31">
        <f t="shared" si="11"/>
        <v>9.6629117249361851E-2</v>
      </c>
      <c r="AD12" s="31">
        <f t="shared" si="12"/>
        <v>7.2681999389121899E-2</v>
      </c>
      <c r="AE12" s="31">
        <f t="shared" si="13"/>
        <v>8.3242248711633549E-2</v>
      </c>
      <c r="AF12" s="31">
        <f t="shared" si="14"/>
        <v>8.8282054536314547E-2</v>
      </c>
      <c r="AG12" s="31">
        <f t="shared" si="15"/>
        <v>5.4414140172599268E-2</v>
      </c>
      <c r="AH12" s="31">
        <f t="shared" ref="AH12:AH27" si="23">+O12/N12-1</f>
        <v>1.8930276283304792E-2</v>
      </c>
      <c r="AI12" s="31">
        <f t="shared" si="16"/>
        <v>9.7625914472549979E-2</v>
      </c>
      <c r="AJ12" s="31">
        <f t="shared" si="17"/>
        <v>-0.11990048785915886</v>
      </c>
      <c r="AK12" s="31">
        <f t="shared" si="18"/>
        <v>0.304244870212524</v>
      </c>
      <c r="AL12" s="31">
        <f t="shared" si="19"/>
        <v>0.15643423664662426</v>
      </c>
      <c r="AM12" s="31">
        <f t="shared" si="20"/>
        <v>2.6710328111778869E-2</v>
      </c>
      <c r="AN12" s="31">
        <f t="shared" si="20"/>
        <v>2.4128139775873914E-2</v>
      </c>
      <c r="AO12" s="31">
        <f t="shared" si="20"/>
        <v>5.1526327847850606E-3</v>
      </c>
    </row>
    <row r="13" spans="1:41" x14ac:dyDescent="0.25">
      <c r="B13" s="24" t="s">
        <v>22</v>
      </c>
      <c r="C13" s="6">
        <v>292729.53246358002</v>
      </c>
      <c r="D13" s="6">
        <v>392990.41748231999</v>
      </c>
      <c r="E13" s="6">
        <v>546887.18494721001</v>
      </c>
      <c r="F13" s="6">
        <v>542328.29614991997</v>
      </c>
      <c r="G13" s="6">
        <v>576692.60434095003</v>
      </c>
      <c r="H13" s="6">
        <v>608050.58645664004</v>
      </c>
      <c r="I13" s="6">
        <v>674952.37940970995</v>
      </c>
      <c r="J13" s="6">
        <v>779319.30133127002</v>
      </c>
      <c r="K13" s="6">
        <v>828723.21245221002</v>
      </c>
      <c r="L13" s="6">
        <v>951787.52006096998</v>
      </c>
      <c r="M13" s="6">
        <v>1089807.8052982399</v>
      </c>
      <c r="N13" s="6">
        <v>1211204.8928855299</v>
      </c>
      <c r="O13" s="6">
        <v>1254870.9355031101</v>
      </c>
      <c r="P13" s="6">
        <v>1466362.9489720201</v>
      </c>
      <c r="Q13" s="6">
        <v>1337428.8370802</v>
      </c>
      <c r="R13" s="6">
        <v>1693719.81333073</v>
      </c>
      <c r="S13" s="6">
        <v>2012388.3311546501</v>
      </c>
      <c r="T13" s="6">
        <v>2047987.5112647798</v>
      </c>
      <c r="U13" s="6">
        <v>1971948.0772297899</v>
      </c>
      <c r="V13" s="6">
        <v>2007891.3727071998</v>
      </c>
      <c r="W13" s="31">
        <f t="shared" si="5"/>
        <v>0.34250348495744598</v>
      </c>
      <c r="X13" s="31">
        <f t="shared" si="6"/>
        <v>0.39160437664313674</v>
      </c>
      <c r="Y13" s="31">
        <f t="shared" si="7"/>
        <v>-8.3360680644402052E-3</v>
      </c>
      <c r="Z13" s="31">
        <f t="shared" si="8"/>
        <v>6.3364402032842548E-2</v>
      </c>
      <c r="AA13" s="31">
        <f t="shared" si="9"/>
        <v>5.437555793094706E-2</v>
      </c>
      <c r="AB13" s="31">
        <f t="shared" si="10"/>
        <v>0.11002668929724102</v>
      </c>
      <c r="AC13" s="31">
        <f t="shared" si="11"/>
        <v>0.15462857100057303</v>
      </c>
      <c r="AD13" s="31">
        <f t="shared" si="12"/>
        <v>6.3393670651485046E-2</v>
      </c>
      <c r="AE13" s="31">
        <f t="shared" si="13"/>
        <v>0.14849868539896449</v>
      </c>
      <c r="AF13" s="31">
        <f t="shared" si="14"/>
        <v>0.14501165683326955</v>
      </c>
      <c r="AG13" s="31">
        <f t="shared" si="15"/>
        <v>0.1113931162881221</v>
      </c>
      <c r="AH13" s="31">
        <f t="shared" si="23"/>
        <v>3.6051738953557066E-2</v>
      </c>
      <c r="AI13" s="31">
        <f t="shared" si="16"/>
        <v>0.16853686501561804</v>
      </c>
      <c r="AJ13" s="31">
        <f t="shared" si="17"/>
        <v>-8.7927829861091489E-2</v>
      </c>
      <c r="AK13" s="31">
        <f t="shared" si="18"/>
        <v>0.2663999506907333</v>
      </c>
      <c r="AL13" s="31">
        <f t="shared" si="19"/>
        <v>0.1881471275920501</v>
      </c>
      <c r="AM13" s="31">
        <f t="shared" si="20"/>
        <v>1.7690015172024065E-2</v>
      </c>
      <c r="AN13" s="31">
        <f t="shared" si="20"/>
        <v>-3.7128856312229175E-2</v>
      </c>
      <c r="AO13" s="31">
        <f t="shared" si="20"/>
        <v>1.8227303189394028E-2</v>
      </c>
    </row>
    <row r="14" spans="1:41" x14ac:dyDescent="0.25">
      <c r="B14" s="24" t="s">
        <v>23</v>
      </c>
      <c r="C14" s="6">
        <v>82637.522192060002</v>
      </c>
      <c r="D14" s="6">
        <v>105939.28954537</v>
      </c>
      <c r="E14" s="6">
        <f t="shared" ref="E14:J14" si="24">+E15+E16</f>
        <v>128981.42884333001</v>
      </c>
      <c r="F14" s="6">
        <f t="shared" si="24"/>
        <v>94703.644721199991</v>
      </c>
      <c r="G14" s="6">
        <f t="shared" si="24"/>
        <v>100124.94208523999</v>
      </c>
      <c r="H14" s="6">
        <f t="shared" si="24"/>
        <v>118341.17556394001</v>
      </c>
      <c r="I14" s="6">
        <f t="shared" si="24"/>
        <v>122250.67519405999</v>
      </c>
      <c r="J14" s="6">
        <f t="shared" si="24"/>
        <v>125055.44977368001</v>
      </c>
      <c r="K14" s="6">
        <v>137715.96168959999</v>
      </c>
      <c r="L14" s="6">
        <f t="shared" ref="L14:Q14" si="25">+L15+L16</f>
        <v>139425.33373076</v>
      </c>
      <c r="M14" s="6">
        <f t="shared" si="25"/>
        <v>149469.71793923</v>
      </c>
      <c r="N14" s="6">
        <f t="shared" si="25"/>
        <v>145072.79540567001</v>
      </c>
      <c r="O14" s="6">
        <f t="shared" si="25"/>
        <v>139380.95889511</v>
      </c>
      <c r="P14" s="6">
        <f t="shared" si="25"/>
        <v>135580.13409591001</v>
      </c>
      <c r="Q14" s="6">
        <f t="shared" si="25"/>
        <v>102413.07731820999</v>
      </c>
      <c r="R14" s="6">
        <f>+R15+R16</f>
        <v>143941.04647706999</v>
      </c>
      <c r="S14" s="6">
        <f>+S15+S16</f>
        <v>135728.43163102999</v>
      </c>
      <c r="T14" s="6">
        <f>+T15+T16</f>
        <v>138145.86565348</v>
      </c>
      <c r="U14" s="6">
        <f>+U15+U16</f>
        <v>151689.49863734996</v>
      </c>
      <c r="V14" s="6">
        <f>+V15+V16</f>
        <v>162587.29495151</v>
      </c>
      <c r="W14" s="31">
        <f t="shared" si="5"/>
        <v>0.28197562965590572</v>
      </c>
      <c r="X14" s="31">
        <f t="shared" si="6"/>
        <v>0.21750324546108923</v>
      </c>
      <c r="Y14" s="31">
        <f t="shared" si="7"/>
        <v>-0.26575751586506491</v>
      </c>
      <c r="Z14" s="31">
        <f t="shared" si="8"/>
        <v>5.7244865073565743E-2</v>
      </c>
      <c r="AA14" s="31">
        <f t="shared" si="9"/>
        <v>0.18193502137750928</v>
      </c>
      <c r="AB14" s="31">
        <f t="shared" si="10"/>
        <v>3.303583568009838E-2</v>
      </c>
      <c r="AC14" s="31">
        <f t="shared" si="11"/>
        <v>2.2942814632047837E-2</v>
      </c>
      <c r="AD14" s="31">
        <f t="shared" si="12"/>
        <v>0.1012391858078352</v>
      </c>
      <c r="AE14" s="31">
        <f t="shared" si="13"/>
        <v>1.241230152400763E-2</v>
      </c>
      <c r="AF14" s="31">
        <f t="shared" si="14"/>
        <v>7.2041313724709566E-2</v>
      </c>
      <c r="AG14" s="31">
        <f t="shared" si="15"/>
        <v>-2.9416811606934656E-2</v>
      </c>
      <c r="AH14" s="31">
        <f t="shared" si="23"/>
        <v>-3.923434779514523E-2</v>
      </c>
      <c r="AI14" s="31">
        <f t="shared" si="16"/>
        <v>-2.7269325949036416E-2</v>
      </c>
      <c r="AJ14" s="31">
        <f t="shared" si="17"/>
        <v>-0.24463065329495459</v>
      </c>
      <c r="AK14" s="31">
        <f t="shared" si="18"/>
        <v>0.40549478881322454</v>
      </c>
      <c r="AL14" s="31">
        <f t="shared" si="19"/>
        <v>-5.705540599462211E-2</v>
      </c>
      <c r="AM14" s="31">
        <f t="shared" si="20"/>
        <v>1.7810815268400448E-2</v>
      </c>
      <c r="AN14" s="31">
        <f t="shared" si="20"/>
        <v>9.8038641401273052E-2</v>
      </c>
      <c r="AO14" s="31">
        <f>+V14/U14-1</f>
        <v>7.1842786824774407E-2</v>
      </c>
    </row>
    <row r="15" spans="1:41" x14ac:dyDescent="0.25">
      <c r="B15" s="25" t="s">
        <v>34</v>
      </c>
      <c r="C15" s="6">
        <v>65924.747911960003</v>
      </c>
      <c r="D15" s="6">
        <v>84122.497227700005</v>
      </c>
      <c r="E15" s="6">
        <v>101609.86527475</v>
      </c>
      <c r="F15" s="6">
        <v>78298.183437379994</v>
      </c>
      <c r="G15" s="6">
        <v>81679.674576389996</v>
      </c>
      <c r="H15" s="6">
        <v>98516.873705520004</v>
      </c>
      <c r="I15" s="6">
        <v>102711.67392688</v>
      </c>
      <c r="J15" s="6">
        <v>105260.12125289001</v>
      </c>
      <c r="K15" s="6">
        <v>115343.13471981</v>
      </c>
      <c r="L15" s="6">
        <v>118366.20308159001</v>
      </c>
      <c r="M15" s="6">
        <v>127508.41850833</v>
      </c>
      <c r="N15" s="6">
        <v>123299.36349807</v>
      </c>
      <c r="O15" s="6">
        <v>118031.15915203</v>
      </c>
      <c r="P15" s="6">
        <v>116032.49037973001</v>
      </c>
      <c r="Q15" s="6">
        <v>88009.713731099997</v>
      </c>
      <c r="R15" s="6">
        <v>120105.89948019</v>
      </c>
      <c r="S15" s="6">
        <v>109138.42360839</v>
      </c>
      <c r="T15" s="6">
        <v>112841.20889996001</v>
      </c>
      <c r="U15" s="6">
        <v>124423.08238469997</v>
      </c>
      <c r="V15" s="6">
        <v>134006.76380399</v>
      </c>
      <c r="W15" s="31">
        <f t="shared" si="5"/>
        <v>0.27603820859569161</v>
      </c>
      <c r="X15" s="31">
        <f t="shared" si="6"/>
        <v>0.20787980175761733</v>
      </c>
      <c r="Y15" s="31">
        <f t="shared" si="7"/>
        <v>-0.22942341055502757</v>
      </c>
      <c r="Z15" s="31">
        <f t="shared" si="8"/>
        <v>4.3187351105206551E-2</v>
      </c>
      <c r="AA15" s="31">
        <f t="shared" si="9"/>
        <v>0.20613695165231349</v>
      </c>
      <c r="AB15" s="31">
        <f t="shared" si="10"/>
        <v>4.257951012431449E-2</v>
      </c>
      <c r="AC15" s="31">
        <f t="shared" si="11"/>
        <v>2.4811661893702874E-2</v>
      </c>
      <c r="AD15" s="31">
        <f t="shared" si="12"/>
        <v>9.5791391335141141E-2</v>
      </c>
      <c r="AE15" s="31">
        <f t="shared" si="13"/>
        <v>2.6209348038993552E-2</v>
      </c>
      <c r="AF15" s="31">
        <f t="shared" si="14"/>
        <v>7.7236704301803405E-2</v>
      </c>
      <c r="AG15" s="31">
        <f t="shared" si="15"/>
        <v>-3.3010016589493096E-2</v>
      </c>
      <c r="AH15" s="31">
        <f t="shared" si="23"/>
        <v>-4.2726938700883621E-2</v>
      </c>
      <c r="AI15" s="31">
        <f t="shared" si="16"/>
        <v>-1.6933399507884195E-2</v>
      </c>
      <c r="AJ15" s="31">
        <f t="shared" si="17"/>
        <v>-0.24150801690907575</v>
      </c>
      <c r="AK15" s="31">
        <f t="shared" si="18"/>
        <v>0.36468912792007147</v>
      </c>
      <c r="AL15" s="31">
        <f t="shared" si="19"/>
        <v>-9.1315047131460436E-2</v>
      </c>
      <c r="AM15" s="31">
        <f t="shared" si="20"/>
        <v>3.3927421426356075E-2</v>
      </c>
      <c r="AN15" s="31">
        <f t="shared" si="20"/>
        <v>0.10263868667879961</v>
      </c>
      <c r="AO15" s="31">
        <f t="shared" si="20"/>
        <v>7.7024947747706074E-2</v>
      </c>
    </row>
    <row r="16" spans="1:41" x14ac:dyDescent="0.25">
      <c r="B16" s="25" t="s">
        <v>35</v>
      </c>
      <c r="C16" s="6">
        <v>16712.774280099999</v>
      </c>
      <c r="D16" s="6">
        <v>21816.792317669999</v>
      </c>
      <c r="E16" s="6">
        <v>27371.563568580001</v>
      </c>
      <c r="F16" s="6">
        <v>16405.461283820001</v>
      </c>
      <c r="G16" s="6">
        <v>18445.26750885</v>
      </c>
      <c r="H16" s="6">
        <v>19824.30185842</v>
      </c>
      <c r="I16" s="6">
        <v>19539.00126718</v>
      </c>
      <c r="J16" s="6">
        <v>19795.328520790001</v>
      </c>
      <c r="K16" s="6">
        <v>22372.82696979</v>
      </c>
      <c r="L16" s="6">
        <v>21059.130649170002</v>
      </c>
      <c r="M16" s="6">
        <v>21961.299430899999</v>
      </c>
      <c r="N16" s="6">
        <v>21773.431907599999</v>
      </c>
      <c r="O16" s="6">
        <v>21349.799743079999</v>
      </c>
      <c r="P16" s="6">
        <v>19547.643716179999</v>
      </c>
      <c r="Q16" s="6">
        <v>14403.36358711</v>
      </c>
      <c r="R16" s="6">
        <v>23835.146996880001</v>
      </c>
      <c r="S16" s="6">
        <v>26590.008022639999</v>
      </c>
      <c r="T16" s="6">
        <v>25304.656753520001</v>
      </c>
      <c r="U16" s="6">
        <v>27266.416252649997</v>
      </c>
      <c r="V16" s="6">
        <v>28580.531147519996</v>
      </c>
      <c r="W16" s="31">
        <f t="shared" si="5"/>
        <v>0.30539621681167484</v>
      </c>
      <c r="X16" s="31">
        <f t="shared" si="6"/>
        <v>0.25460989727674344</v>
      </c>
      <c r="Y16" s="31">
        <f t="shared" si="7"/>
        <v>-0.4006385041645214</v>
      </c>
      <c r="Z16" s="31">
        <f t="shared" si="8"/>
        <v>0.12433702349118159</v>
      </c>
      <c r="AA16" s="31">
        <f t="shared" si="9"/>
        <v>7.4763586318731479E-2</v>
      </c>
      <c r="AB16" s="31">
        <f t="shared" si="10"/>
        <v>-1.4391457176022748E-2</v>
      </c>
      <c r="AC16" s="31">
        <f t="shared" si="11"/>
        <v>1.311874901408383E-2</v>
      </c>
      <c r="AD16" s="31">
        <f t="shared" si="12"/>
        <v>0.13020740960641231</v>
      </c>
      <c r="AE16" s="31">
        <f t="shared" si="13"/>
        <v>-5.8718387372050929E-2</v>
      </c>
      <c r="AF16" s="31">
        <f t="shared" si="14"/>
        <v>4.2839792238316132E-2</v>
      </c>
      <c r="AG16" s="31">
        <f t="shared" si="15"/>
        <v>-8.5544812086877364E-3</v>
      </c>
      <c r="AH16" s="31">
        <f t="shared" si="23"/>
        <v>-1.9456379973435967E-2</v>
      </c>
      <c r="AI16" s="31">
        <f t="shared" si="16"/>
        <v>-8.4410910106270332E-2</v>
      </c>
      <c r="AJ16" s="31">
        <f t="shared" si="17"/>
        <v>-0.26316625183893494</v>
      </c>
      <c r="AK16" s="31">
        <f t="shared" si="18"/>
        <v>0.65483200175622769</v>
      </c>
      <c r="AL16" s="31">
        <f t="shared" si="19"/>
        <v>0.11557977914382511</v>
      </c>
      <c r="AM16" s="31">
        <f t="shared" si="20"/>
        <v>-4.8339634498251738E-2</v>
      </c>
      <c r="AN16" s="31">
        <f t="shared" si="20"/>
        <v>7.7525631674774775E-2</v>
      </c>
      <c r="AO16" s="31">
        <f t="shared" si="20"/>
        <v>4.8195365415588221E-2</v>
      </c>
    </row>
    <row r="17" spans="2:41" x14ac:dyDescent="0.25">
      <c r="B17" s="24" t="s">
        <v>24</v>
      </c>
      <c r="C17" s="6">
        <v>1161.81175553</v>
      </c>
      <c r="D17" s="6">
        <v>3085.5162917799998</v>
      </c>
      <c r="E17" s="6">
        <f>+E18+E19</f>
        <v>4219.9173261200003</v>
      </c>
      <c r="F17" s="6">
        <f>+F18+F19</f>
        <v>3653.9034404099998</v>
      </c>
      <c r="G17" s="6">
        <f>+G18+G19</f>
        <v>3349.2314161899999</v>
      </c>
      <c r="H17" s="6">
        <f>+H18+H19</f>
        <v>3296.6634428299999</v>
      </c>
      <c r="I17" s="6">
        <f>+I18+I19</f>
        <v>3194.3208658200001</v>
      </c>
      <c r="J17" s="6">
        <f>+J18+J19+J20</f>
        <v>3317.6518028800001</v>
      </c>
      <c r="K17" s="6">
        <v>4115.8484933700001</v>
      </c>
      <c r="L17" s="6">
        <f t="shared" ref="L17:Q17" si="26">+L18+L19+L20</f>
        <v>3726.7822118399999</v>
      </c>
      <c r="M17" s="6">
        <f t="shared" si="26"/>
        <v>4186.3166912200004</v>
      </c>
      <c r="N17" s="6">
        <f t="shared" si="26"/>
        <v>4708.0419132200004</v>
      </c>
      <c r="O17" s="6">
        <f t="shared" si="26"/>
        <v>4546.0064057899999</v>
      </c>
      <c r="P17" s="6">
        <f t="shared" si="26"/>
        <v>4580.0345442400003</v>
      </c>
      <c r="Q17" s="6">
        <f t="shared" si="26"/>
        <v>4469.7881710599995</v>
      </c>
      <c r="R17" s="6">
        <f>+R18+R19+R20</f>
        <v>5343.2004619700001</v>
      </c>
      <c r="S17" s="6">
        <f>+S18+S19+S20</f>
        <v>3883.2932226100002</v>
      </c>
      <c r="T17" s="6">
        <f>+T18+T19+T20</f>
        <v>4569.6500630700002</v>
      </c>
      <c r="U17" s="6">
        <f>+U18+U19+U20</f>
        <v>4298.6376817400005</v>
      </c>
      <c r="V17" s="6">
        <f>+V18+V19+V20</f>
        <v>3893.7804932200006</v>
      </c>
      <c r="W17" s="31">
        <f t="shared" si="5"/>
        <v>1.6557798861076565</v>
      </c>
      <c r="X17" s="31">
        <f t="shared" si="6"/>
        <v>0.36765355521282217</v>
      </c>
      <c r="Y17" s="31">
        <f t="shared" si="7"/>
        <v>-0.13412914092097195</v>
      </c>
      <c r="Z17" s="31">
        <f t="shared" si="8"/>
        <v>-8.3382615109777847E-2</v>
      </c>
      <c r="AA17" s="31">
        <f t="shared" si="9"/>
        <v>-1.5695533341138934E-2</v>
      </c>
      <c r="AB17" s="31">
        <f t="shared" si="10"/>
        <v>-3.104429032104794E-2</v>
      </c>
      <c r="AC17" s="31">
        <f t="shared" si="11"/>
        <v>3.8609439139214441E-2</v>
      </c>
      <c r="AD17" s="31">
        <f t="shared" si="12"/>
        <v>0.24059085700226235</v>
      </c>
      <c r="AE17" s="31">
        <f t="shared" si="13"/>
        <v>-9.4528815177897352E-2</v>
      </c>
      <c r="AF17" s="31">
        <f t="shared" si="14"/>
        <v>0.12330596564512342</v>
      </c>
      <c r="AG17" s="31">
        <f t="shared" si="15"/>
        <v>0.12462631484479392</v>
      </c>
      <c r="AH17" s="31">
        <f t="shared" si="23"/>
        <v>-3.4416751255975653E-2</v>
      </c>
      <c r="AI17" s="31">
        <f t="shared" si="16"/>
        <v>7.4852816763875119E-3</v>
      </c>
      <c r="AJ17" s="31">
        <f t="shared" si="17"/>
        <v>-2.4071078965692605E-2</v>
      </c>
      <c r="AK17" s="31">
        <f t="shared" si="18"/>
        <v>0.1954035085074004</v>
      </c>
      <c r="AL17" s="31">
        <f t="shared" si="19"/>
        <v>-0.27322711355316487</v>
      </c>
      <c r="AM17" s="31">
        <f t="shared" si="20"/>
        <v>0.17674607636213802</v>
      </c>
      <c r="AN17" s="31">
        <f t="shared" si="20"/>
        <v>-5.9307031739740501E-2</v>
      </c>
      <c r="AO17" s="31">
        <f t="shared" si="20"/>
        <v>-9.4182673324568755E-2</v>
      </c>
    </row>
    <row r="18" spans="2:41" x14ac:dyDescent="0.25">
      <c r="B18" s="25" t="s">
        <v>36</v>
      </c>
      <c r="C18" s="6">
        <v>1161.81175553</v>
      </c>
      <c r="D18" s="6">
        <v>144.48136686000001</v>
      </c>
      <c r="E18" s="6">
        <v>133.47536847999999</v>
      </c>
      <c r="F18" s="6">
        <v>115.82954221</v>
      </c>
      <c r="G18" s="43">
        <v>131.98903977000001</v>
      </c>
      <c r="H18" s="43">
        <v>135.17226149999999</v>
      </c>
      <c r="I18" s="43">
        <v>133.44155821999999</v>
      </c>
      <c r="J18" s="43">
        <v>130.77310596999999</v>
      </c>
      <c r="K18" s="43">
        <v>149.797506</v>
      </c>
      <c r="L18" s="43">
        <v>129.82784699999999</v>
      </c>
      <c r="M18" s="43">
        <v>151.72938543000001</v>
      </c>
      <c r="N18" s="43">
        <v>166.54744650000001</v>
      </c>
      <c r="O18" s="43">
        <v>161.7223305</v>
      </c>
      <c r="P18" s="43">
        <v>155.47861499999999</v>
      </c>
      <c r="Q18" s="43">
        <v>165.24297300000001</v>
      </c>
      <c r="R18" s="43">
        <v>174.80350050000004</v>
      </c>
      <c r="S18" s="43">
        <v>118.09158600000001</v>
      </c>
      <c r="T18" s="43">
        <v>165.98967299999998</v>
      </c>
      <c r="U18" s="43">
        <v>162.08101349999998</v>
      </c>
      <c r="V18" s="43">
        <v>141.93705299999999</v>
      </c>
      <c r="W18" s="31">
        <f t="shared" si="5"/>
        <v>-0.87564132814778595</v>
      </c>
      <c r="X18" s="31">
        <f t="shared" si="6"/>
        <v>-7.6175901565664561E-2</v>
      </c>
      <c r="Y18" s="31">
        <f t="shared" si="7"/>
        <v>-0.13220286612390242</v>
      </c>
      <c r="Z18" s="31">
        <f t="shared" si="8"/>
        <v>0.13951101982862624</v>
      </c>
      <c r="AA18" s="31">
        <f t="shared" si="9"/>
        <v>2.4117318646661667E-2</v>
      </c>
      <c r="AB18" s="31">
        <f t="shared" si="10"/>
        <v>-1.2803686649867863E-2</v>
      </c>
      <c r="AC18" s="31">
        <f t="shared" si="11"/>
        <v>-1.9997160446827422E-2</v>
      </c>
      <c r="AD18" s="31">
        <f t="shared" si="12"/>
        <v>0.14547639508053201</v>
      </c>
      <c r="AE18" s="31">
        <f t="shared" si="13"/>
        <v>-0.13331102455070254</v>
      </c>
      <c r="AF18" s="31">
        <f t="shared" si="14"/>
        <v>0.16869676988481541</v>
      </c>
      <c r="AG18" s="31">
        <f t="shared" si="15"/>
        <v>9.7661115729202441E-2</v>
      </c>
      <c r="AH18" s="31">
        <f t="shared" si="23"/>
        <v>-2.8971419865029269E-2</v>
      </c>
      <c r="AI18" s="31">
        <f t="shared" si="16"/>
        <v>-3.8607627534776423E-2</v>
      </c>
      <c r="AJ18" s="31">
        <f t="shared" si="17"/>
        <v>6.280193581606075E-2</v>
      </c>
      <c r="AK18" s="31">
        <f t="shared" si="18"/>
        <v>5.7857392217217196E-2</v>
      </c>
      <c r="AL18" s="31">
        <f t="shared" si="19"/>
        <v>-0.3244323731377452</v>
      </c>
      <c r="AM18" s="31">
        <f t="shared" si="20"/>
        <v>0.40560118313594318</v>
      </c>
      <c r="AN18" s="31">
        <f t="shared" si="20"/>
        <v>-2.3547606482723804E-2</v>
      </c>
      <c r="AO18" s="31">
        <f t="shared" si="20"/>
        <v>-0.12428328318665161</v>
      </c>
    </row>
    <row r="19" spans="2:41" x14ac:dyDescent="0.25">
      <c r="B19" s="25" t="s">
        <v>55</v>
      </c>
      <c r="C19" s="6">
        <v>0</v>
      </c>
      <c r="D19" s="6">
        <v>2941.0349249199999</v>
      </c>
      <c r="E19" s="6">
        <v>4086.4419576400001</v>
      </c>
      <c r="F19" s="6">
        <v>3538.0738981999998</v>
      </c>
      <c r="G19" s="43">
        <v>3217.2423764199998</v>
      </c>
      <c r="H19" s="43">
        <v>3161.49118133</v>
      </c>
      <c r="I19" s="43">
        <v>3060.8793076000002</v>
      </c>
      <c r="J19" s="43">
        <v>2814.8011451900002</v>
      </c>
      <c r="K19" s="43">
        <v>2610.4489589599998</v>
      </c>
      <c r="L19" s="43">
        <v>2243.40912084</v>
      </c>
      <c r="M19" s="43">
        <v>2664.2164397900001</v>
      </c>
      <c r="N19" s="43">
        <v>3061.3050172200001</v>
      </c>
      <c r="O19" s="43">
        <v>2988.0291895400001</v>
      </c>
      <c r="P19" s="43">
        <v>2965.26452724</v>
      </c>
      <c r="Q19" s="43">
        <v>3099.79459606</v>
      </c>
      <c r="R19" s="43">
        <v>3483.6960287200004</v>
      </c>
      <c r="S19" s="43">
        <v>2474.6843283600001</v>
      </c>
      <c r="T19" s="43">
        <v>2942.7610248200003</v>
      </c>
      <c r="U19" s="43">
        <v>2738.6612437400004</v>
      </c>
      <c r="V19" s="43">
        <v>2340.9976437200003</v>
      </c>
      <c r="W19" s="46" t="e">
        <f t="shared" si="5"/>
        <v>#DIV/0!</v>
      </c>
      <c r="X19" s="31">
        <f t="shared" si="6"/>
        <v>0.3894571339546935</v>
      </c>
      <c r="Y19" s="31">
        <f t="shared" si="7"/>
        <v>-0.13419205879451512</v>
      </c>
      <c r="Z19" s="31">
        <f t="shared" si="8"/>
        <v>-9.0679711902915128E-2</v>
      </c>
      <c r="AA19" s="31">
        <f t="shared" si="9"/>
        <v>-1.7328876275724436E-2</v>
      </c>
      <c r="AB19" s="31">
        <f t="shared" si="10"/>
        <v>-3.1824182943845369E-2</v>
      </c>
      <c r="AC19" s="31">
        <f t="shared" si="11"/>
        <v>-8.0394598310034926E-2</v>
      </c>
      <c r="AD19" s="31">
        <f t="shared" si="12"/>
        <v>-7.2599155567064533E-2</v>
      </c>
      <c r="AE19" s="31">
        <f t="shared" si="13"/>
        <v>-0.14060410446263927</v>
      </c>
      <c r="AF19" s="31">
        <f t="shared" si="14"/>
        <v>0.18757493452306062</v>
      </c>
      <c r="AG19" s="31">
        <f t="shared" si="15"/>
        <v>0.14904516446167548</v>
      </c>
      <c r="AH19" s="31">
        <f t="shared" si="23"/>
        <v>-2.3936140720320132E-2</v>
      </c>
      <c r="AI19" s="31">
        <f t="shared" si="16"/>
        <v>-7.6186211231439316E-3</v>
      </c>
      <c r="AJ19" s="31">
        <f t="shared" si="17"/>
        <v>4.5368656854779088E-2</v>
      </c>
      <c r="AK19" s="31">
        <f t="shared" si="18"/>
        <v>0.12384737787076583</v>
      </c>
      <c r="AL19" s="31">
        <f t="shared" si="19"/>
        <v>-0.28963827269704046</v>
      </c>
      <c r="AM19" s="31">
        <f t="shared" si="20"/>
        <v>0.18914602201816977</v>
      </c>
      <c r="AN19" s="31">
        <f t="shared" si="20"/>
        <v>-6.9356559828871678E-2</v>
      </c>
      <c r="AO19" s="31">
        <f t="shared" si="20"/>
        <v>-0.14520364682889308</v>
      </c>
    </row>
    <row r="20" spans="2:41" x14ac:dyDescent="0.25">
      <c r="B20" s="25" t="s">
        <v>48</v>
      </c>
      <c r="C20" s="6"/>
      <c r="D20" s="6"/>
      <c r="E20" s="6"/>
      <c r="F20" s="6"/>
      <c r="G20" s="43">
        <v>0</v>
      </c>
      <c r="H20" s="43">
        <v>0</v>
      </c>
      <c r="I20" s="43">
        <v>0</v>
      </c>
      <c r="J20" s="43">
        <v>372.07755171999997</v>
      </c>
      <c r="K20" s="43">
        <v>1355.60202841</v>
      </c>
      <c r="L20" s="43">
        <v>1353.5452439999999</v>
      </c>
      <c r="M20" s="43">
        <v>1370.370866</v>
      </c>
      <c r="N20" s="43">
        <v>1480.1894494999999</v>
      </c>
      <c r="O20" s="43">
        <v>1396.2548857500001</v>
      </c>
      <c r="P20" s="43">
        <v>1459.2914020000001</v>
      </c>
      <c r="Q20" s="43">
        <v>1204.7506020000001</v>
      </c>
      <c r="R20" s="43">
        <v>1684.70093275</v>
      </c>
      <c r="S20" s="43">
        <v>1290.51730825</v>
      </c>
      <c r="T20" s="43">
        <v>1460.8993652500001</v>
      </c>
      <c r="U20" s="43">
        <v>1397.8954245</v>
      </c>
      <c r="V20" s="43">
        <v>1410.8457965000002</v>
      </c>
      <c r="W20" s="46" t="e">
        <f t="shared" si="5"/>
        <v>#DIV/0!</v>
      </c>
      <c r="X20" s="46" t="e">
        <f t="shared" si="6"/>
        <v>#DIV/0!</v>
      </c>
      <c r="Y20" s="46" t="e">
        <f t="shared" si="7"/>
        <v>#DIV/0!</v>
      </c>
      <c r="Z20" s="46" t="e">
        <f t="shared" si="8"/>
        <v>#DIV/0!</v>
      </c>
      <c r="AA20" s="46" t="e">
        <f t="shared" si="9"/>
        <v>#DIV/0!</v>
      </c>
      <c r="AB20" s="46" t="e">
        <f t="shared" si="10"/>
        <v>#DIV/0!</v>
      </c>
      <c r="AC20" s="46" t="e">
        <f t="shared" si="11"/>
        <v>#DIV/0!</v>
      </c>
      <c r="AD20" s="31">
        <f t="shared" si="12"/>
        <v>2.6433319401922239</v>
      </c>
      <c r="AE20" s="31">
        <f t="shared" si="13"/>
        <v>-1.5172479583941412E-3</v>
      </c>
      <c r="AF20" s="31">
        <f t="shared" si="14"/>
        <v>1.2430779151701543E-2</v>
      </c>
      <c r="AG20" s="31">
        <f t="shared" si="15"/>
        <v>8.0137856272843422E-2</v>
      </c>
      <c r="AH20" s="31">
        <f t="shared" si="23"/>
        <v>-5.6705284433930081E-2</v>
      </c>
      <c r="AI20" s="31">
        <f t="shared" si="16"/>
        <v>4.5146854555957239E-2</v>
      </c>
      <c r="AJ20" s="31">
        <f t="shared" si="17"/>
        <v>-0.17442767061544018</v>
      </c>
      <c r="AK20" s="31">
        <f t="shared" si="18"/>
        <v>0.39838148240244653</v>
      </c>
      <c r="AL20" s="31">
        <f t="shared" si="19"/>
        <v>-0.23397839749311433</v>
      </c>
      <c r="AM20" s="31">
        <f t="shared" si="20"/>
        <v>0.13202616959167002</v>
      </c>
      <c r="AN20" s="31">
        <f t="shared" si="20"/>
        <v>-4.3126817800498096E-2</v>
      </c>
      <c r="AO20" s="31">
        <f t="shared" si="20"/>
        <v>9.2641922800715815E-3</v>
      </c>
    </row>
    <row r="21" spans="2:41" x14ac:dyDescent="0.25">
      <c r="B21" s="24" t="s">
        <v>25</v>
      </c>
      <c r="C21" s="6">
        <v>510654.14417599997</v>
      </c>
      <c r="D21" s="6">
        <v>632734.52520127001</v>
      </c>
      <c r="E21" s="6">
        <f t="shared" ref="E21:J21" si="27">+E22+E23</f>
        <v>792568.79843720002</v>
      </c>
      <c r="F21" s="6">
        <f t="shared" si="27"/>
        <v>682082.79618264001</v>
      </c>
      <c r="G21" s="44">
        <f t="shared" si="27"/>
        <v>755252.30895856</v>
      </c>
      <c r="H21" s="44">
        <f t="shared" si="27"/>
        <v>840693.32802448003</v>
      </c>
      <c r="I21" s="44">
        <f t="shared" si="27"/>
        <v>925306.01984805998</v>
      </c>
      <c r="J21" s="44">
        <f t="shared" si="27"/>
        <v>959591.44668187003</v>
      </c>
      <c r="K21" s="44">
        <v>1045393.06428619</v>
      </c>
      <c r="L21" s="44">
        <f t="shared" ref="L21:Q21" si="28">+L22+L23</f>
        <v>1085753.84274338</v>
      </c>
      <c r="M21" s="44">
        <f t="shared" si="28"/>
        <v>1161251.4569393601</v>
      </c>
      <c r="N21" s="44">
        <f t="shared" si="28"/>
        <v>1200091.8462290899</v>
      </c>
      <c r="O21" s="44">
        <f t="shared" si="28"/>
        <v>1219527.45828126</v>
      </c>
      <c r="P21" s="44">
        <f t="shared" si="28"/>
        <v>1326916.2047412801</v>
      </c>
      <c r="Q21" s="44">
        <f t="shared" si="28"/>
        <v>1246215.79526178</v>
      </c>
      <c r="R21" s="44">
        <f>+R22+R23</f>
        <v>1642503.4028628697</v>
      </c>
      <c r="S21" s="44">
        <f>+S22+S23</f>
        <v>1791241.9769629701</v>
      </c>
      <c r="T21" s="44">
        <f>+T22+T23</f>
        <v>1894951.94360348</v>
      </c>
      <c r="U21" s="44">
        <f>+U22+U23</f>
        <v>2002066.5273446797</v>
      </c>
      <c r="V21" s="44">
        <f>+V22+V23</f>
        <v>2022803.11489134</v>
      </c>
      <c r="W21" s="31">
        <f t="shared" si="5"/>
        <v>0.239066660708807</v>
      </c>
      <c r="X21" s="31">
        <f t="shared" si="6"/>
        <v>0.25260874327204985</v>
      </c>
      <c r="Y21" s="31">
        <f t="shared" si="7"/>
        <v>-0.13940241209648685</v>
      </c>
      <c r="Z21" s="31">
        <f t="shared" si="8"/>
        <v>0.10727365238563724</v>
      </c>
      <c r="AA21" s="31">
        <f t="shared" si="9"/>
        <v>0.11312910672691245</v>
      </c>
      <c r="AB21" s="31">
        <f t="shared" si="10"/>
        <v>0.10064632250907568</v>
      </c>
      <c r="AC21" s="31">
        <f t="shared" si="11"/>
        <v>3.7053067956307029E-2</v>
      </c>
      <c r="AD21" s="31">
        <f t="shared" si="12"/>
        <v>8.9414737804312194E-2</v>
      </c>
      <c r="AE21" s="31">
        <f t="shared" si="13"/>
        <v>3.8608232478325233E-2</v>
      </c>
      <c r="AF21" s="31">
        <f t="shared" si="14"/>
        <v>6.9534742796967697E-2</v>
      </c>
      <c r="AG21" s="31">
        <f t="shared" si="15"/>
        <v>3.3447010169613822E-2</v>
      </c>
      <c r="AH21" s="31">
        <f t="shared" si="23"/>
        <v>1.6195103827461477E-2</v>
      </c>
      <c r="AI21" s="31">
        <f t="shared" si="16"/>
        <v>8.8057669985855291E-2</v>
      </c>
      <c r="AJ21" s="31">
        <f t="shared" si="17"/>
        <v>-6.0818014876255821E-2</v>
      </c>
      <c r="AK21" s="31">
        <f t="shared" si="18"/>
        <v>0.3179927658659194</v>
      </c>
      <c r="AL21" s="31">
        <f t="shared" si="19"/>
        <v>9.0556021887595595E-2</v>
      </c>
      <c r="AM21" s="31">
        <f t="shared" si="20"/>
        <v>5.7898356544964891E-2</v>
      </c>
      <c r="AN21" s="31">
        <f t="shared" si="20"/>
        <v>5.6526279783912781E-2</v>
      </c>
      <c r="AO21" s="31">
        <f t="shared" si="20"/>
        <v>1.0357591650145048E-2</v>
      </c>
    </row>
    <row r="22" spans="2:41" x14ac:dyDescent="0.25">
      <c r="B22" s="25" t="s">
        <v>26</v>
      </c>
      <c r="C22" s="6">
        <v>255596.69873219999</v>
      </c>
      <c r="D22" s="6">
        <v>304524.71360263001</v>
      </c>
      <c r="E22" s="6">
        <v>370589.57231273002</v>
      </c>
      <c r="F22" s="6">
        <v>375426.27929605002</v>
      </c>
      <c r="G22" s="45">
        <v>403138.32461826998</v>
      </c>
      <c r="H22" s="45">
        <v>433683.67646073003</v>
      </c>
      <c r="I22" s="45">
        <v>483780.86337943998</v>
      </c>
      <c r="J22" s="45">
        <v>515047.35418386001</v>
      </c>
      <c r="K22" s="45">
        <v>537024.89055265998</v>
      </c>
      <c r="L22" s="45">
        <v>568965.38020291005</v>
      </c>
      <c r="M22" s="45">
        <v>615220.89856718003</v>
      </c>
      <c r="N22" s="45">
        <v>628993.00595130003</v>
      </c>
      <c r="O22" s="45">
        <v>644745.88293605996</v>
      </c>
      <c r="P22" s="45">
        <v>767471.18328364997</v>
      </c>
      <c r="Q22" s="45">
        <v>794602.88561028999</v>
      </c>
      <c r="R22" s="45">
        <v>978125.57073435979</v>
      </c>
      <c r="S22" s="45">
        <v>1111216.16332094</v>
      </c>
      <c r="T22" s="45">
        <v>1187035.0792557499</v>
      </c>
      <c r="U22" s="45">
        <v>1250404.8992880199</v>
      </c>
      <c r="V22" s="45">
        <v>1244393.7315308801</v>
      </c>
      <c r="W22" s="31">
        <f t="shared" si="5"/>
        <v>0.1914266307550947</v>
      </c>
      <c r="X22" s="31">
        <f t="shared" si="6"/>
        <v>0.2169441617021175</v>
      </c>
      <c r="Y22" s="31">
        <f t="shared" si="7"/>
        <v>1.3051384455141868E-2</v>
      </c>
      <c r="Z22" s="31">
        <f t="shared" si="8"/>
        <v>7.3814878847005438E-2</v>
      </c>
      <c r="AA22" s="31">
        <f t="shared" si="9"/>
        <v>7.5768911009349793E-2</v>
      </c>
      <c r="AB22" s="31">
        <f t="shared" si="10"/>
        <v>0.11551550043928449</v>
      </c>
      <c r="AC22" s="31">
        <f t="shared" si="11"/>
        <v>6.4629449346153667E-2</v>
      </c>
      <c r="AD22" s="31">
        <f t="shared" si="12"/>
        <v>4.2670904316410629E-2</v>
      </c>
      <c r="AE22" s="31">
        <f t="shared" si="13"/>
        <v>5.9476739741764373E-2</v>
      </c>
      <c r="AF22" s="31">
        <f t="shared" si="14"/>
        <v>8.1297597312113945E-2</v>
      </c>
      <c r="AG22" s="31">
        <f t="shared" si="15"/>
        <v>2.2385629968348919E-2</v>
      </c>
      <c r="AH22" s="31">
        <f t="shared" si="23"/>
        <v>2.5044598009376973E-2</v>
      </c>
      <c r="AI22" s="31">
        <f t="shared" si="16"/>
        <v>0.19034677629691932</v>
      </c>
      <c r="AJ22" s="31">
        <f t="shared" si="17"/>
        <v>3.535207955373143E-2</v>
      </c>
      <c r="AK22" s="31">
        <f t="shared" si="18"/>
        <v>0.23096151354033445</v>
      </c>
      <c r="AL22" s="31">
        <f t="shared" si="19"/>
        <v>0.13606698011857321</v>
      </c>
      <c r="AM22" s="31">
        <f t="shared" si="20"/>
        <v>6.8230573346071743E-2</v>
      </c>
      <c r="AN22" s="31">
        <f t="shared" si="20"/>
        <v>5.3384959837919688E-2</v>
      </c>
      <c r="AO22" s="31">
        <f t="shared" si="20"/>
        <v>-4.8073770028912444E-3</v>
      </c>
    </row>
    <row r="23" spans="2:41" x14ac:dyDescent="0.25">
      <c r="B23" s="25" t="s">
        <v>27</v>
      </c>
      <c r="C23" s="6">
        <v>255057.44544380001</v>
      </c>
      <c r="D23" s="6">
        <v>328209.81159863999</v>
      </c>
      <c r="E23" s="6">
        <v>421979.22612447001</v>
      </c>
      <c r="F23" s="6">
        <v>306656.51688658999</v>
      </c>
      <c r="G23" s="45">
        <v>352113.98434029002</v>
      </c>
      <c r="H23" s="45">
        <v>407009.65156375</v>
      </c>
      <c r="I23" s="45">
        <v>441525.15646862</v>
      </c>
      <c r="J23" s="45">
        <v>444544.09249801002</v>
      </c>
      <c r="K23" s="45">
        <v>508368.17373352998</v>
      </c>
      <c r="L23" s="45">
        <v>516788.46254047001</v>
      </c>
      <c r="M23" s="45">
        <v>546030.55837217998</v>
      </c>
      <c r="N23" s="45">
        <v>571098.84027778998</v>
      </c>
      <c r="O23" s="45">
        <v>574781.57534520002</v>
      </c>
      <c r="P23" s="45">
        <v>559445.02145762998</v>
      </c>
      <c r="Q23" s="45">
        <v>451612.90965148999</v>
      </c>
      <c r="R23" s="45">
        <v>664377.83212851</v>
      </c>
      <c r="S23" s="45">
        <v>680025.81364203</v>
      </c>
      <c r="T23" s="45">
        <v>707916.86434773006</v>
      </c>
      <c r="U23" s="45">
        <v>751661.62805665983</v>
      </c>
      <c r="V23" s="45">
        <v>778409.38336045982</v>
      </c>
      <c r="W23" s="31">
        <f t="shared" si="5"/>
        <v>0.28680741323804471</v>
      </c>
      <c r="X23" s="31">
        <f t="shared" si="6"/>
        <v>0.28569960803151861</v>
      </c>
      <c r="Y23" s="31">
        <f t="shared" si="7"/>
        <v>-0.27329001547546228</v>
      </c>
      <c r="Z23" s="31">
        <f t="shared" si="8"/>
        <v>0.1482357783073347</v>
      </c>
      <c r="AA23" s="31">
        <f t="shared" si="9"/>
        <v>0.15590311565248061</v>
      </c>
      <c r="AB23" s="31">
        <f t="shared" si="10"/>
        <v>8.4802669352581184E-2</v>
      </c>
      <c r="AC23" s="31">
        <f t="shared" si="11"/>
        <v>6.8375176027022366E-3</v>
      </c>
      <c r="AD23" s="31">
        <f t="shared" si="12"/>
        <v>0.1435719927732606</v>
      </c>
      <c r="AE23" s="31">
        <f t="shared" si="13"/>
        <v>1.6563367342806279E-2</v>
      </c>
      <c r="AF23" s="31">
        <f t="shared" si="14"/>
        <v>5.6584266003074646E-2</v>
      </c>
      <c r="AG23" s="31">
        <f t="shared" si="15"/>
        <v>4.5910034743006367E-2</v>
      </c>
      <c r="AH23" s="31">
        <f t="shared" si="23"/>
        <v>6.448507347027288E-3</v>
      </c>
      <c r="AI23" s="31">
        <f t="shared" si="16"/>
        <v>-2.6682403447534475E-2</v>
      </c>
      <c r="AJ23" s="31">
        <f t="shared" si="17"/>
        <v>-0.1927483625203853</v>
      </c>
      <c r="AK23" s="31">
        <f t="shared" si="18"/>
        <v>0.47112232163870349</v>
      </c>
      <c r="AL23" s="31">
        <f t="shared" si="19"/>
        <v>2.3552835083897383E-2</v>
      </c>
      <c r="AM23" s="31">
        <f t="shared" si="20"/>
        <v>4.1014694069219759E-2</v>
      </c>
      <c r="AN23" s="31">
        <f t="shared" si="20"/>
        <v>6.1793645429305988E-2</v>
      </c>
      <c r="AO23" s="31">
        <f t="shared" si="20"/>
        <v>3.5584835390564562E-2</v>
      </c>
    </row>
    <row r="24" spans="2:41" x14ac:dyDescent="0.25">
      <c r="B24" s="24" t="s">
        <v>28</v>
      </c>
      <c r="C24" s="6">
        <v>89872.088823690006</v>
      </c>
      <c r="D24" s="6">
        <v>119741.23333343001</v>
      </c>
      <c r="E24" s="6">
        <f t="shared" ref="E24:J24" si="29">+E25+E26</f>
        <v>142343.73553909999</v>
      </c>
      <c r="F24" s="6">
        <f t="shared" si="29"/>
        <v>94832.598694009997</v>
      </c>
      <c r="G24" s="44">
        <f t="shared" si="29"/>
        <v>118221.27810123</v>
      </c>
      <c r="H24" s="44">
        <f t="shared" si="29"/>
        <v>141228.07191726001</v>
      </c>
      <c r="I24" s="44">
        <f t="shared" si="29"/>
        <v>153420.40819222</v>
      </c>
      <c r="J24" s="44">
        <f t="shared" si="29"/>
        <v>143520.43614941</v>
      </c>
      <c r="K24" s="44">
        <v>158621.36458893001</v>
      </c>
      <c r="L24" s="44">
        <f t="shared" ref="L24:Q24" si="30">+L25+L26</f>
        <v>180448.69347875001</v>
      </c>
      <c r="M24" s="44">
        <f t="shared" si="30"/>
        <v>210039.13195874001</v>
      </c>
      <c r="N24" s="44">
        <f t="shared" si="30"/>
        <v>201456.72839352</v>
      </c>
      <c r="O24" s="44">
        <f t="shared" si="30"/>
        <v>181863.19552292</v>
      </c>
      <c r="P24" s="44">
        <f t="shared" si="30"/>
        <v>163101.37948651001</v>
      </c>
      <c r="Q24" s="44">
        <f t="shared" si="30"/>
        <v>105177.76253324001</v>
      </c>
      <c r="R24" s="44">
        <f>+R25+R26</f>
        <v>165904.37584440998</v>
      </c>
      <c r="S24" s="44">
        <f>+S25+S26</f>
        <v>169015.97760143</v>
      </c>
      <c r="T24" s="44">
        <f>+T25+T26</f>
        <v>224220.72420169998</v>
      </c>
      <c r="U24" s="44">
        <f>+U25+U26</f>
        <v>269586.11336660001</v>
      </c>
      <c r="V24" s="44">
        <f>+V25+V26</f>
        <v>243849.38439242</v>
      </c>
      <c r="W24" s="31">
        <f t="shared" si="5"/>
        <v>0.33235173345460933</v>
      </c>
      <c r="X24" s="31">
        <f t="shared" si="6"/>
        <v>0.18876122766107906</v>
      </c>
      <c r="Y24" s="31">
        <f t="shared" si="7"/>
        <v>-0.33377750460988354</v>
      </c>
      <c r="Z24" s="31">
        <f t="shared" si="8"/>
        <v>0.24663121889854223</v>
      </c>
      <c r="AA24" s="31">
        <f t="shared" si="9"/>
        <v>0.19460789280530233</v>
      </c>
      <c r="AB24" s="31">
        <f t="shared" si="10"/>
        <v>8.6330827217573347E-2</v>
      </c>
      <c r="AC24" s="31">
        <f t="shared" si="11"/>
        <v>-6.4528390710617556E-2</v>
      </c>
      <c r="AD24" s="31">
        <f t="shared" si="12"/>
        <v>0.10521796647690929</v>
      </c>
      <c r="AE24" s="31">
        <f t="shared" si="13"/>
        <v>0.13760648791785335</v>
      </c>
      <c r="AF24" s="31">
        <f t="shared" si="14"/>
        <v>0.16398255875138612</v>
      </c>
      <c r="AG24" s="31">
        <f t="shared" si="15"/>
        <v>-4.0860974263147942E-2</v>
      </c>
      <c r="AH24" s="31">
        <f t="shared" si="23"/>
        <v>-9.7259262705420957E-2</v>
      </c>
      <c r="AI24" s="31">
        <f t="shared" si="16"/>
        <v>-0.10316444722343754</v>
      </c>
      <c r="AJ24" s="31">
        <f t="shared" si="17"/>
        <v>-0.35513873111085992</v>
      </c>
      <c r="AK24" s="31">
        <f t="shared" si="18"/>
        <v>0.57737122228644244</v>
      </c>
      <c r="AL24" s="31">
        <f t="shared" si="19"/>
        <v>1.8755392925489556E-2</v>
      </c>
      <c r="AM24" s="31">
        <f t="shared" si="20"/>
        <v>0.32662442559396765</v>
      </c>
      <c r="AN24" s="31">
        <f t="shared" si="20"/>
        <v>0.20232469289543076</v>
      </c>
      <c r="AO24" s="31">
        <f t="shared" si="20"/>
        <v>-9.5467561933286982E-2</v>
      </c>
    </row>
    <row r="25" spans="2:41" x14ac:dyDescent="0.25">
      <c r="B25" s="25" t="s">
        <v>26</v>
      </c>
      <c r="C25" s="6">
        <v>14239.51310203</v>
      </c>
      <c r="D25" s="6">
        <v>16546.87054674</v>
      </c>
      <c r="E25" s="6">
        <v>18941.000121199999</v>
      </c>
      <c r="F25" s="6">
        <v>20682.384346539999</v>
      </c>
      <c r="G25" s="44">
        <v>20901.399654479999</v>
      </c>
      <c r="H25" s="44">
        <v>22147.370976490001</v>
      </c>
      <c r="I25" s="44">
        <v>21322.960026069999</v>
      </c>
      <c r="J25" s="44">
        <v>18826.451692750001</v>
      </c>
      <c r="K25" s="44">
        <v>17705.1747473</v>
      </c>
      <c r="L25" s="44">
        <v>18037.01844829</v>
      </c>
      <c r="M25" s="44">
        <v>18492.16584922</v>
      </c>
      <c r="N25" s="44">
        <v>19511.890267229999</v>
      </c>
      <c r="O25" s="44">
        <v>16832.522104799998</v>
      </c>
      <c r="P25" s="44">
        <v>8356.9233365599994</v>
      </c>
      <c r="Q25" s="44">
        <v>6046.8736779999999</v>
      </c>
      <c r="R25" s="44">
        <v>8550.0696769999995</v>
      </c>
      <c r="S25" s="44">
        <v>9474.5995619999994</v>
      </c>
      <c r="T25" s="44">
        <v>9501.8979659999986</v>
      </c>
      <c r="U25" s="44">
        <v>10334.848045000001</v>
      </c>
      <c r="V25" s="44">
        <v>8841.1634290000002</v>
      </c>
      <c r="W25" s="31">
        <f t="shared" si="5"/>
        <v>0.16203906890475506</v>
      </c>
      <c r="X25" s="31">
        <f t="shared" si="6"/>
        <v>0.1446877563764879</v>
      </c>
      <c r="Y25" s="31">
        <f t="shared" si="7"/>
        <v>9.1937290227400936E-2</v>
      </c>
      <c r="Z25" s="31">
        <f t="shared" si="8"/>
        <v>1.0589461266666822E-2</v>
      </c>
      <c r="AA25" s="31">
        <f t="shared" si="9"/>
        <v>5.9611860574272146E-2</v>
      </c>
      <c r="AB25" s="31">
        <f t="shared" si="10"/>
        <v>-3.7223874169766469E-2</v>
      </c>
      <c r="AC25" s="31">
        <f t="shared" si="11"/>
        <v>-0.11708075850011923</v>
      </c>
      <c r="AD25" s="31">
        <f t="shared" si="12"/>
        <v>-5.95585914833755E-2</v>
      </c>
      <c r="AE25" s="31">
        <f t="shared" si="13"/>
        <v>1.8742752089504489E-2</v>
      </c>
      <c r="AF25" s="31">
        <f t="shared" si="14"/>
        <v>2.5234070821341881E-2</v>
      </c>
      <c r="AG25" s="31">
        <f t="shared" si="15"/>
        <v>5.5143590335742676E-2</v>
      </c>
      <c r="AH25" s="31">
        <f t="shared" si="23"/>
        <v>-0.13731976378167565</v>
      </c>
      <c r="AI25" s="31">
        <f t="shared" si="16"/>
        <v>-0.50352518270705726</v>
      </c>
      <c r="AJ25" s="31">
        <f t="shared" si="17"/>
        <v>-0.27642345939132384</v>
      </c>
      <c r="AK25" s="31">
        <f t="shared" si="18"/>
        <v>0.41396532031208744</v>
      </c>
      <c r="AL25" s="31">
        <f t="shared" si="19"/>
        <v>0.10813126909211279</v>
      </c>
      <c r="AM25" s="31">
        <f t="shared" si="20"/>
        <v>2.8812198152927682E-3</v>
      </c>
      <c r="AN25" s="31">
        <f t="shared" si="20"/>
        <v>8.7661442164554071E-2</v>
      </c>
      <c r="AO25" s="31">
        <f t="shared" si="20"/>
        <v>-0.14452893835460356</v>
      </c>
    </row>
    <row r="26" spans="2:41" ht="13.5" customHeight="1" x14ac:dyDescent="0.25">
      <c r="B26" s="25" t="s">
        <v>27</v>
      </c>
      <c r="C26" s="6">
        <v>75632.575721660003</v>
      </c>
      <c r="D26" s="6">
        <v>103194.36278669001</v>
      </c>
      <c r="E26" s="6">
        <v>123402.7354179</v>
      </c>
      <c r="F26" s="6">
        <v>74150.214347469999</v>
      </c>
      <c r="G26" s="44">
        <v>97319.878446749994</v>
      </c>
      <c r="H26" s="44">
        <v>119080.70094077</v>
      </c>
      <c r="I26" s="44">
        <v>132097.44816614999</v>
      </c>
      <c r="J26" s="44">
        <v>124693.98445665999</v>
      </c>
      <c r="K26" s="44">
        <v>140916.18984163</v>
      </c>
      <c r="L26" s="44">
        <v>162411.67503046</v>
      </c>
      <c r="M26" s="44">
        <v>191546.96610952</v>
      </c>
      <c r="N26" s="44">
        <v>181944.83812629001</v>
      </c>
      <c r="O26" s="44">
        <v>165030.67341811999</v>
      </c>
      <c r="P26" s="44">
        <v>154744.45614995001</v>
      </c>
      <c r="Q26" s="44">
        <v>99130.888855240002</v>
      </c>
      <c r="R26" s="44">
        <v>157354.30616740999</v>
      </c>
      <c r="S26" s="44">
        <v>159541.37803943001</v>
      </c>
      <c r="T26" s="44">
        <v>214718.82623569999</v>
      </c>
      <c r="U26" s="44">
        <v>259251.26532159999</v>
      </c>
      <c r="V26" s="44">
        <v>235008.22096342</v>
      </c>
      <c r="W26" s="31">
        <f t="shared" si="5"/>
        <v>0.36441687727867156</v>
      </c>
      <c r="X26" s="31">
        <f t="shared" si="6"/>
        <v>0.19582826121017982</v>
      </c>
      <c r="Y26" s="31">
        <f t="shared" si="7"/>
        <v>-0.39912017269015698</v>
      </c>
      <c r="Z26" s="31">
        <f t="shared" si="8"/>
        <v>0.31246928013864261</v>
      </c>
      <c r="AA26" s="31">
        <f t="shared" si="9"/>
        <v>0.22360100363181967</v>
      </c>
      <c r="AB26" s="31">
        <f t="shared" si="10"/>
        <v>0.10931030068301695</v>
      </c>
      <c r="AC26" s="31">
        <f t="shared" si="11"/>
        <v>-5.6045471069040231E-2</v>
      </c>
      <c r="AD26" s="31">
        <f t="shared" si="12"/>
        <v>0.13009613459427438</v>
      </c>
      <c r="AE26" s="31">
        <f t="shared" si="13"/>
        <v>0.15254091962738925</v>
      </c>
      <c r="AF26" s="31">
        <f t="shared" si="14"/>
        <v>0.17939160515151231</v>
      </c>
      <c r="AG26" s="31">
        <f t="shared" si="15"/>
        <v>-5.0129366067535708E-2</v>
      </c>
      <c r="AH26" s="31">
        <f t="shared" si="23"/>
        <v>-9.2963146865588486E-2</v>
      </c>
      <c r="AI26" s="31">
        <f t="shared" si="16"/>
        <v>-6.2329123763004479E-2</v>
      </c>
      <c r="AJ26" s="31">
        <f t="shared" si="17"/>
        <v>-0.35938972340837538</v>
      </c>
      <c r="AK26" s="31">
        <f t="shared" si="18"/>
        <v>0.58733880009078865</v>
      </c>
      <c r="AL26" s="31">
        <f t="shared" si="19"/>
        <v>1.3899027775529538E-2</v>
      </c>
      <c r="AM26" s="31">
        <f t="shared" si="20"/>
        <v>0.34585039238305382</v>
      </c>
      <c r="AN26" s="31">
        <f t="shared" si="20"/>
        <v>0.20739885675891356</v>
      </c>
      <c r="AO26" s="31">
        <f t="shared" si="20"/>
        <v>-9.3511768700941911E-2</v>
      </c>
    </row>
    <row r="27" spans="2:41" x14ac:dyDescent="0.25">
      <c r="B27" s="24" t="s">
        <v>31</v>
      </c>
      <c r="C27" s="6">
        <v>265873.06027545</v>
      </c>
      <c r="D27" s="6">
        <v>327670.01167699997</v>
      </c>
      <c r="E27" s="6">
        <v>353152.79600087</v>
      </c>
      <c r="F27" s="6">
        <v>390254.52433584997</v>
      </c>
      <c r="G27" s="51">
        <v>407090.90570259001</v>
      </c>
      <c r="H27" s="51">
        <v>421192.22838371003</v>
      </c>
      <c r="I27" s="51">
        <v>467287.37414110999</v>
      </c>
      <c r="J27" s="51">
        <v>562338.53271231998</v>
      </c>
      <c r="K27" s="51">
        <v>585594.53169993998</v>
      </c>
      <c r="L27" s="51">
        <v>628784.06775982003</v>
      </c>
      <c r="M27" s="51">
        <v>639128.64253668999</v>
      </c>
      <c r="N27" s="51">
        <v>668406.01608686999</v>
      </c>
      <c r="O27" s="51">
        <v>695700.41449213994</v>
      </c>
      <c r="P27" s="51">
        <v>740637.62476329005</v>
      </c>
      <c r="Q27" s="51">
        <v>581393.51287643996</v>
      </c>
      <c r="R27" s="51">
        <v>753151.9122234399</v>
      </c>
      <c r="S27" s="51">
        <v>798022.86324366997</v>
      </c>
      <c r="T27" s="51">
        <v>918524.29097949993</v>
      </c>
      <c r="U27" s="51">
        <v>956232.35889305035</v>
      </c>
      <c r="V27" s="51">
        <v>942392.84568985994</v>
      </c>
      <c r="W27" s="52">
        <f t="shared" si="5"/>
        <v>0.2324302858571945</v>
      </c>
      <c r="X27" s="52">
        <f t="shared" si="6"/>
        <v>7.776965671484648E-2</v>
      </c>
      <c r="Y27" s="52">
        <f t="shared" si="7"/>
        <v>0.10505857168659816</v>
      </c>
      <c r="Z27" s="52">
        <f t="shared" si="8"/>
        <v>4.3142052985529977E-2</v>
      </c>
      <c r="AA27" s="52">
        <f t="shared" si="9"/>
        <v>3.4639247606828238E-2</v>
      </c>
      <c r="AB27" s="52">
        <f t="shared" si="10"/>
        <v>0.10943968727601217</v>
      </c>
      <c r="AC27" s="52">
        <f t="shared" si="11"/>
        <v>0.20341050032844832</v>
      </c>
      <c r="AD27" s="52">
        <f t="shared" si="12"/>
        <v>4.1355869524803301E-2</v>
      </c>
      <c r="AE27" s="52">
        <f t="shared" si="13"/>
        <v>7.375331175737565E-2</v>
      </c>
      <c r="AF27" s="52">
        <f t="shared" si="14"/>
        <v>1.6451712610538571E-2</v>
      </c>
      <c r="AG27" s="52">
        <f t="shared" si="15"/>
        <v>4.580826394194859E-2</v>
      </c>
      <c r="AH27" s="52">
        <f t="shared" si="23"/>
        <v>4.0835057956334353E-2</v>
      </c>
      <c r="AI27" s="52">
        <f t="shared" si="16"/>
        <v>6.4592760526029247E-2</v>
      </c>
      <c r="AJ27" s="52">
        <f t="shared" si="17"/>
        <v>-0.21500948177962875</v>
      </c>
      <c r="AK27" s="52">
        <f t="shared" si="18"/>
        <v>0.29542537978662087</v>
      </c>
      <c r="AL27" s="52">
        <f t="shared" si="19"/>
        <v>5.9577557053215102E-2</v>
      </c>
      <c r="AM27" s="52">
        <f t="shared" si="20"/>
        <v>0.15099996915631708</v>
      </c>
      <c r="AN27" s="52">
        <f t="shared" si="20"/>
        <v>4.1052880456040164E-2</v>
      </c>
      <c r="AO27" s="52">
        <f t="shared" si="20"/>
        <v>-1.4472960546128344E-2</v>
      </c>
    </row>
    <row r="28" spans="2:41" x14ac:dyDescent="0.25">
      <c r="B28" s="24" t="s">
        <v>73</v>
      </c>
      <c r="C28" s="6"/>
      <c r="D28" s="6"/>
      <c r="E28" s="6"/>
      <c r="F28" s="6"/>
      <c r="G28" s="51"/>
      <c r="H28" s="51"/>
      <c r="I28" s="51"/>
      <c r="J28" s="51"/>
      <c r="K28" s="51"/>
      <c r="L28" s="51"/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8623.555123199998</v>
      </c>
      <c r="T28" s="51">
        <v>0</v>
      </c>
      <c r="U28" s="51">
        <v>0</v>
      </c>
      <c r="V28" s="51">
        <v>0</v>
      </c>
      <c r="W28" s="52"/>
      <c r="X28" s="52"/>
      <c r="Y28" s="52"/>
      <c r="Z28" s="52"/>
      <c r="AA28" s="52"/>
      <c r="AB28" s="52"/>
      <c r="AC28" s="52"/>
      <c r="AD28" s="52"/>
      <c r="AE28" s="52"/>
      <c r="AF28" s="141" t="e">
        <f t="shared" ref="AF28:AO32" si="31">+M28/L28-1</f>
        <v>#DIV/0!</v>
      </c>
      <c r="AG28" s="141" t="e">
        <f t="shared" si="31"/>
        <v>#DIV/0!</v>
      </c>
      <c r="AH28" s="141" t="e">
        <f t="shared" si="31"/>
        <v>#DIV/0!</v>
      </c>
      <c r="AI28" s="141" t="e">
        <f t="shared" si="31"/>
        <v>#DIV/0!</v>
      </c>
      <c r="AJ28" s="141" t="e">
        <f t="shared" si="31"/>
        <v>#DIV/0!</v>
      </c>
      <c r="AK28" s="141" t="e">
        <f t="shared" si="31"/>
        <v>#DIV/0!</v>
      </c>
      <c r="AL28" s="141" t="e">
        <f t="shared" si="31"/>
        <v>#DIV/0!</v>
      </c>
      <c r="AM28" s="141">
        <f t="shared" si="31"/>
        <v>-1</v>
      </c>
      <c r="AN28" s="141" t="e">
        <f t="shared" si="31"/>
        <v>#DIV/0!</v>
      </c>
      <c r="AO28" s="141" t="e">
        <f t="shared" si="31"/>
        <v>#DIV/0!</v>
      </c>
    </row>
    <row r="29" spans="2:41" x14ac:dyDescent="0.25">
      <c r="B29" s="24" t="s">
        <v>74</v>
      </c>
      <c r="C29" s="6"/>
      <c r="D29" s="6"/>
      <c r="E29" s="6"/>
      <c r="F29" s="6"/>
      <c r="G29" s="51"/>
      <c r="H29" s="51"/>
      <c r="I29" s="51"/>
      <c r="J29" s="51"/>
      <c r="K29" s="51"/>
      <c r="L29" s="51"/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174683.89044136999</v>
      </c>
      <c r="T29" s="51">
        <v>1239.7488919099999</v>
      </c>
      <c r="U29" s="51">
        <v>0</v>
      </c>
      <c r="V29" s="51">
        <v>0</v>
      </c>
      <c r="W29" s="52"/>
      <c r="X29" s="52"/>
      <c r="Y29" s="52"/>
      <c r="Z29" s="52"/>
      <c r="AA29" s="52"/>
      <c r="AB29" s="52"/>
      <c r="AC29" s="52"/>
      <c r="AD29" s="52"/>
      <c r="AE29" s="52"/>
      <c r="AF29" s="141" t="e">
        <f t="shared" si="31"/>
        <v>#DIV/0!</v>
      </c>
      <c r="AG29" s="141" t="e">
        <f t="shared" si="31"/>
        <v>#DIV/0!</v>
      </c>
      <c r="AH29" s="141" t="e">
        <f t="shared" si="31"/>
        <v>#DIV/0!</v>
      </c>
      <c r="AI29" s="141" t="e">
        <f t="shared" si="31"/>
        <v>#DIV/0!</v>
      </c>
      <c r="AJ29" s="141" t="e">
        <f t="shared" si="31"/>
        <v>#DIV/0!</v>
      </c>
      <c r="AK29" s="141" t="e">
        <f t="shared" si="31"/>
        <v>#DIV/0!</v>
      </c>
      <c r="AL29" s="141" t="e">
        <f>+S29/R29-1</f>
        <v>#DIV/0!</v>
      </c>
      <c r="AM29" s="52">
        <f>+T29/S29-1</f>
        <v>-0.99290290084118493</v>
      </c>
      <c r="AN29" s="141">
        <f t="shared" si="31"/>
        <v>-1</v>
      </c>
      <c r="AO29" s="141" t="e">
        <f t="shared" si="31"/>
        <v>#DIV/0!</v>
      </c>
    </row>
    <row r="30" spans="2:41" x14ac:dyDescent="0.25">
      <c r="B30" s="23" t="s">
        <v>32</v>
      </c>
      <c r="C30" s="6">
        <v>26833.060854430001</v>
      </c>
      <c r="D30" s="6">
        <v>31806.66086901</v>
      </c>
      <c r="E30" s="6">
        <v>35698.042960120001</v>
      </c>
      <c r="F30" s="6">
        <v>44435.271791309999</v>
      </c>
      <c r="G30" s="44">
        <v>50084.694275889997</v>
      </c>
      <c r="H30" s="44">
        <v>55350.911006030001</v>
      </c>
      <c r="I30" s="44">
        <v>60238.341585989998</v>
      </c>
      <c r="J30" s="44">
        <v>47115.765136640002</v>
      </c>
      <c r="K30" s="44">
        <v>49976.366103089997</v>
      </c>
      <c r="L30" s="44">
        <v>52861.911003230001</v>
      </c>
      <c r="M30" s="44">
        <v>80743.013307460002</v>
      </c>
      <c r="N30" s="44">
        <v>58919.439904220002</v>
      </c>
      <c r="O30" s="44">
        <v>63733.838256950003</v>
      </c>
      <c r="P30" s="44">
        <v>64244.29857341</v>
      </c>
      <c r="Q30" s="44">
        <v>64185.818335739998</v>
      </c>
      <c r="R30" s="44">
        <v>390124.20639084</v>
      </c>
      <c r="S30" s="44">
        <v>427142.67294268997</v>
      </c>
      <c r="T30" s="44">
        <v>460829.06850738009</v>
      </c>
      <c r="U30" s="44">
        <v>488188.10861089994</v>
      </c>
      <c r="V30" s="44">
        <v>512647.00396132999</v>
      </c>
      <c r="W30" s="31">
        <f t="shared" ref="W30:AE32" si="32">+D30/C30-1</f>
        <v>0.18535343550860262</v>
      </c>
      <c r="X30" s="31">
        <f t="shared" si="32"/>
        <v>0.12234487949351092</v>
      </c>
      <c r="Y30" s="31">
        <f t="shared" si="32"/>
        <v>0.24475372055971745</v>
      </c>
      <c r="Z30" s="31">
        <f t="shared" si="32"/>
        <v>0.12713824529109385</v>
      </c>
      <c r="AA30" s="31">
        <f t="shared" si="32"/>
        <v>0.10514622892836711</v>
      </c>
      <c r="AB30" s="31">
        <f t="shared" si="32"/>
        <v>8.8299008835239556E-2</v>
      </c>
      <c r="AC30" s="31">
        <f t="shared" si="32"/>
        <v>-0.21784425174815891</v>
      </c>
      <c r="AD30" s="31">
        <f t="shared" si="32"/>
        <v>6.0714305671445423E-2</v>
      </c>
      <c r="AE30" s="31">
        <f t="shared" si="32"/>
        <v>5.7738189571201914E-2</v>
      </c>
      <c r="AF30" s="31">
        <f t="shared" si="31"/>
        <v>0.52743273512239064</v>
      </c>
      <c r="AG30" s="31">
        <f t="shared" si="31"/>
        <v>-0.27028435661842809</v>
      </c>
      <c r="AH30" s="31">
        <f t="shared" si="31"/>
        <v>8.1711543092675809E-2</v>
      </c>
      <c r="AI30" s="31">
        <f t="shared" si="31"/>
        <v>8.009251135982387E-3</v>
      </c>
      <c r="AJ30" s="31">
        <f t="shared" si="31"/>
        <v>-9.1027902815654649E-4</v>
      </c>
      <c r="AK30" s="31">
        <f t="shared" si="31"/>
        <v>5.078043663012874</v>
      </c>
      <c r="AL30" s="31">
        <f t="shared" si="31"/>
        <v>9.4888924976789468E-2</v>
      </c>
      <c r="AM30" s="31">
        <f t="shared" si="31"/>
        <v>7.8864505231042159E-2</v>
      </c>
      <c r="AN30" s="31">
        <f t="shared" si="31"/>
        <v>5.9369171723770542E-2</v>
      </c>
      <c r="AO30" s="31">
        <f t="shared" si="31"/>
        <v>5.0101374693508838E-2</v>
      </c>
    </row>
    <row r="31" spans="2:41" x14ac:dyDescent="0.25">
      <c r="B31" s="23" t="s">
        <v>12</v>
      </c>
      <c r="C31" s="6">
        <v>7905.8862218800004</v>
      </c>
      <c r="D31" s="6">
        <v>14568.65216792</v>
      </c>
      <c r="E31" s="6">
        <v>8885.2066464300005</v>
      </c>
      <c r="F31" s="6">
        <v>9985.5541667500001</v>
      </c>
      <c r="G31" s="44">
        <v>19008.52459506</v>
      </c>
      <c r="H31" s="44">
        <v>15938.35882356</v>
      </c>
      <c r="I31" s="44">
        <v>15584.99604355</v>
      </c>
      <c r="J31" s="44">
        <v>11288.45029144</v>
      </c>
      <c r="K31" s="44">
        <v>16441.794599929999</v>
      </c>
      <c r="L31" s="44">
        <v>27655.068468270001</v>
      </c>
      <c r="M31" s="44">
        <v>31879.619033399998</v>
      </c>
      <c r="N31" s="44">
        <v>61845.74246732</v>
      </c>
      <c r="O31" s="44">
        <v>47949.628564120001</v>
      </c>
      <c r="P31" s="44">
        <v>68530.758146430002</v>
      </c>
      <c r="Q31" s="44">
        <v>45285.49650691</v>
      </c>
      <c r="R31" s="44">
        <v>119418.5579674</v>
      </c>
      <c r="S31" s="44">
        <v>246430.56083355003</v>
      </c>
      <c r="T31" s="44">
        <v>133961.37105650999</v>
      </c>
      <c r="U31" s="44">
        <v>157169.42956904997</v>
      </c>
      <c r="V31" s="44">
        <v>141201.69687948003</v>
      </c>
      <c r="W31" s="31">
        <f t="shared" si="32"/>
        <v>0.842760161106342</v>
      </c>
      <c r="X31" s="31">
        <f t="shared" si="32"/>
        <v>-0.39011471040573531</v>
      </c>
      <c r="Y31" s="31">
        <f t="shared" si="32"/>
        <v>0.1238403972024793</v>
      </c>
      <c r="Z31" s="31">
        <f t="shared" si="32"/>
        <v>0.90360237174965996</v>
      </c>
      <c r="AA31" s="31">
        <f t="shared" si="32"/>
        <v>-0.1615152063036962</v>
      </c>
      <c r="AB31" s="31">
        <f t="shared" si="32"/>
        <v>-2.2170587569383948E-2</v>
      </c>
      <c r="AC31" s="31">
        <f t="shared" si="32"/>
        <v>-0.27568475090426259</v>
      </c>
      <c r="AD31" s="31">
        <f t="shared" si="32"/>
        <v>0.45651477177498534</v>
      </c>
      <c r="AE31" s="31">
        <f t="shared" si="32"/>
        <v>0.68199817241286675</v>
      </c>
      <c r="AF31" s="31">
        <f t="shared" si="31"/>
        <v>0.1527586369918783</v>
      </c>
      <c r="AG31" s="31">
        <f t="shared" si="31"/>
        <v>0.93997746342341038</v>
      </c>
      <c r="AH31" s="31">
        <f t="shared" si="31"/>
        <v>-0.2246899034406914</v>
      </c>
      <c r="AI31" s="31">
        <f t="shared" si="31"/>
        <v>0.42922396270052765</v>
      </c>
      <c r="AJ31" s="31">
        <f t="shared" si="31"/>
        <v>-0.33919457872991476</v>
      </c>
      <c r="AK31" s="31">
        <f t="shared" si="31"/>
        <v>1.6370155387206196</v>
      </c>
      <c r="AL31" s="31">
        <f t="shared" si="31"/>
        <v>1.0635868078462556</v>
      </c>
      <c r="AM31" s="31">
        <f t="shared" si="31"/>
        <v>-0.45639302770165202</v>
      </c>
      <c r="AN31" s="31">
        <f t="shared" si="31"/>
        <v>0.17324440866427038</v>
      </c>
      <c r="AO31" s="31">
        <f t="shared" si="31"/>
        <v>-0.10159566483986482</v>
      </c>
    </row>
    <row r="32" spans="2:41" x14ac:dyDescent="0.25">
      <c r="B32" s="23" t="s">
        <v>33</v>
      </c>
      <c r="C32" s="6">
        <v>12247.02656928</v>
      </c>
      <c r="D32" s="6">
        <v>16831.244129580002</v>
      </c>
      <c r="E32" s="6">
        <v>24172.940305880002</v>
      </c>
      <c r="F32" s="6">
        <v>22011.225111020001</v>
      </c>
      <c r="G32" s="44">
        <v>127909.8</v>
      </c>
      <c r="H32" s="44">
        <v>122085.49778321999</v>
      </c>
      <c r="I32" s="44">
        <v>138260.18468603</v>
      </c>
      <c r="J32" s="44">
        <v>140041.75235453999</v>
      </c>
      <c r="K32" s="44">
        <v>160369.79703031</v>
      </c>
      <c r="L32" s="44">
        <v>169963.50592977999</v>
      </c>
      <c r="M32" s="44">
        <v>158341.01755511001</v>
      </c>
      <c r="N32" s="44">
        <v>156067.02924448001</v>
      </c>
      <c r="O32" s="44">
        <v>178111.99913491</v>
      </c>
      <c r="P32" s="44">
        <v>167295.52371169999</v>
      </c>
      <c r="Q32" s="44">
        <v>174786.89510359001</v>
      </c>
      <c r="R32" s="44">
        <v>121743.24632773998</v>
      </c>
      <c r="S32" s="44">
        <v>214035.02380376999</v>
      </c>
      <c r="T32" s="44">
        <v>15202.961507259999</v>
      </c>
      <c r="U32" s="44">
        <v>42375.827245520006</v>
      </c>
      <c r="V32" s="44">
        <v>20764.776420620001</v>
      </c>
      <c r="W32" s="31">
        <f t="shared" si="32"/>
        <v>0.37431269821843016</v>
      </c>
      <c r="X32" s="31">
        <f t="shared" si="32"/>
        <v>0.43619450349468614</v>
      </c>
      <c r="Y32" s="31">
        <f t="shared" si="32"/>
        <v>-8.9427068759780459E-2</v>
      </c>
      <c r="Z32" s="31">
        <f t="shared" si="32"/>
        <v>4.8111167985811694</v>
      </c>
      <c r="AA32" s="31">
        <f t="shared" si="32"/>
        <v>-4.5534448625359492E-2</v>
      </c>
      <c r="AB32" s="31">
        <f t="shared" si="32"/>
        <v>0.13248655406664622</v>
      </c>
      <c r="AC32" s="31">
        <f t="shared" si="32"/>
        <v>1.2885616148681445E-2</v>
      </c>
      <c r="AD32" s="31">
        <f t="shared" si="32"/>
        <v>0.14515702877171965</v>
      </c>
      <c r="AE32" s="31">
        <f t="shared" si="32"/>
        <v>5.9822417170340092E-2</v>
      </c>
      <c r="AF32" s="31">
        <f t="shared" si="31"/>
        <v>-6.8382258362402748E-2</v>
      </c>
      <c r="AG32" s="31">
        <f t="shared" si="31"/>
        <v>-1.4361334452322461E-2</v>
      </c>
      <c r="AH32" s="31">
        <f t="shared" si="31"/>
        <v>0.14125321662845525</v>
      </c>
      <c r="AI32" s="31">
        <f t="shared" si="31"/>
        <v>-6.0728504961741092E-2</v>
      </c>
      <c r="AJ32" s="31">
        <f t="shared" si="31"/>
        <v>4.4779269795645504E-2</v>
      </c>
      <c r="AK32" s="31">
        <f t="shared" si="31"/>
        <v>-0.30347612013139158</v>
      </c>
      <c r="AL32" s="31">
        <f t="shared" si="31"/>
        <v>0.75808539906661521</v>
      </c>
      <c r="AM32" s="31">
        <f t="shared" si="31"/>
        <v>-0.92896974879588745</v>
      </c>
      <c r="AN32" s="31">
        <f t="shared" si="31"/>
        <v>1.787340297170648</v>
      </c>
      <c r="AO32" s="31">
        <f t="shared" si="31"/>
        <v>-0.50998534375950699</v>
      </c>
    </row>
    <row r="33" spans="1:41" x14ac:dyDescent="0.25">
      <c r="C33" s="6"/>
      <c r="D33" s="6"/>
      <c r="E33" s="6"/>
      <c r="G33" s="25" t="s">
        <v>44</v>
      </c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</row>
    <row r="34" spans="1:41" ht="14" x14ac:dyDescent="0.3">
      <c r="B34" s="15" t="s">
        <v>11</v>
      </c>
      <c r="C34" s="21">
        <v>172.94341679999999</v>
      </c>
      <c r="D34" s="21">
        <v>158.9</v>
      </c>
      <c r="E34" s="21">
        <v>311.8</v>
      </c>
      <c r="F34" s="21"/>
      <c r="G34" s="21">
        <v>970.47288308999998</v>
      </c>
      <c r="H34" s="21">
        <v>239.04671997</v>
      </c>
      <c r="I34" s="21">
        <v>3931.55</v>
      </c>
      <c r="J34" s="21">
        <v>292.18289666999999</v>
      </c>
      <c r="K34" s="21">
        <v>1401.23285814</v>
      </c>
      <c r="L34" s="21">
        <v>919.46141233000003</v>
      </c>
      <c r="M34" s="21">
        <v>4479.4873979900003</v>
      </c>
      <c r="N34" s="21">
        <v>6813.9300468299998</v>
      </c>
      <c r="O34" s="21">
        <v>1470.16822149</v>
      </c>
      <c r="P34" s="21">
        <v>100375.675</v>
      </c>
      <c r="Q34" s="21">
        <v>75000</v>
      </c>
      <c r="R34" s="21">
        <v>6534.9489450000001</v>
      </c>
      <c r="S34" s="21">
        <v>7610.1350899999998</v>
      </c>
      <c r="T34" s="21">
        <v>7350.7446680000003</v>
      </c>
      <c r="U34" s="21">
        <v>7601.7186040000006</v>
      </c>
      <c r="V34" s="21">
        <v>16428.95030774</v>
      </c>
      <c r="W34" s="29">
        <f t="shared" ref="W34:AO34" si="33">+D34/C34-1</f>
        <v>-8.1202378557377886E-2</v>
      </c>
      <c r="X34" s="29">
        <f t="shared" si="33"/>
        <v>0.96224040276903722</v>
      </c>
      <c r="Y34" s="29">
        <f t="shared" si="33"/>
        <v>-1</v>
      </c>
      <c r="Z34" s="42" t="e">
        <f t="shared" si="33"/>
        <v>#DIV/0!</v>
      </c>
      <c r="AA34" s="29">
        <f t="shared" si="33"/>
        <v>-0.75368016547884187</v>
      </c>
      <c r="AB34" s="29">
        <f t="shared" si="33"/>
        <v>15.446784965271238</v>
      </c>
      <c r="AC34" s="29">
        <f t="shared" si="33"/>
        <v>-0.92568251792041312</v>
      </c>
      <c r="AD34" s="29">
        <f t="shared" si="33"/>
        <v>3.7957388132906145</v>
      </c>
      <c r="AE34" s="29">
        <f t="shared" si="33"/>
        <v>-0.34381968921960948</v>
      </c>
      <c r="AF34" s="29">
        <f t="shared" si="33"/>
        <v>3.87186013237746</v>
      </c>
      <c r="AG34" s="29">
        <f t="shared" si="33"/>
        <v>0.52114057735434005</v>
      </c>
      <c r="AH34" s="29">
        <f t="shared" si="33"/>
        <v>-0.78424078154809407</v>
      </c>
      <c r="AI34" s="29">
        <f t="shared" si="33"/>
        <v>67.274958969164985</v>
      </c>
      <c r="AJ34" s="29">
        <f t="shared" si="33"/>
        <v>-0.25280701723799115</v>
      </c>
      <c r="AK34" s="29">
        <f t="shared" si="33"/>
        <v>-0.91286734739999997</v>
      </c>
      <c r="AL34" s="29">
        <f t="shared" si="33"/>
        <v>0.16452862203654139</v>
      </c>
      <c r="AM34" s="29">
        <f t="shared" si="33"/>
        <v>-3.4084864320062858E-2</v>
      </c>
      <c r="AN34" s="29">
        <f t="shared" si="33"/>
        <v>3.414265456567489E-2</v>
      </c>
      <c r="AO34" s="29">
        <f t="shared" si="33"/>
        <v>1.1612152677021137</v>
      </c>
    </row>
    <row r="35" spans="1:41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</row>
    <row r="36" spans="1:41" ht="13" x14ac:dyDescent="0.3">
      <c r="A36" s="16">
        <v>2</v>
      </c>
      <c r="B36" s="58" t="s">
        <v>54</v>
      </c>
      <c r="C36" s="22">
        <f>+C40+C56</f>
        <v>1382711.1099999999</v>
      </c>
      <c r="D36" s="22">
        <f>+D40+D56</f>
        <v>1624497.5999999999</v>
      </c>
      <c r="E36" s="36">
        <f>+E40+E56</f>
        <v>1878487.6</v>
      </c>
      <c r="F36" s="22">
        <f>+F40+F56</f>
        <v>2268840.0511084902</v>
      </c>
      <c r="G36" s="22">
        <f>G38+G46</f>
        <v>2803775.9000000004</v>
      </c>
      <c r="H36" s="22">
        <f>H38+H46</f>
        <v>3070163.91676162</v>
      </c>
      <c r="I36" s="22">
        <f>I38+I46</f>
        <v>3360329.9065095903</v>
      </c>
      <c r="J36" s="22">
        <f>J38+J46</f>
        <v>3793765.7040916099</v>
      </c>
      <c r="K36" s="22">
        <v>4188894.4343816699</v>
      </c>
      <c r="L36" s="22">
        <f t="shared" ref="L36:V36" si="34">+L40+L56+L65</f>
        <v>4589188.9738781499</v>
      </c>
      <c r="M36" s="22">
        <f t="shared" si="34"/>
        <v>4752520.1241301093</v>
      </c>
      <c r="N36" s="22">
        <f t="shared" si="34"/>
        <v>5242557.8798414897</v>
      </c>
      <c r="O36" s="22">
        <f t="shared" si="34"/>
        <v>5546413.6069881516</v>
      </c>
      <c r="P36" s="22">
        <f t="shared" si="34"/>
        <v>6231637.34402165</v>
      </c>
      <c r="Q36" s="22">
        <f t="shared" si="34"/>
        <v>6235022.8012693003</v>
      </c>
      <c r="R36" s="22">
        <f t="shared" si="34"/>
        <v>6578144.2425757488</v>
      </c>
      <c r="S36" s="22">
        <f t="shared" si="34"/>
        <v>6794471.798325629</v>
      </c>
      <c r="T36" s="22">
        <f t="shared" si="34"/>
        <v>7000950.2862979695</v>
      </c>
      <c r="U36" s="22">
        <f t="shared" si="34"/>
        <v>7464542.0456725704</v>
      </c>
      <c r="V36" s="22">
        <f t="shared" si="34"/>
        <v>7416594.3166879797</v>
      </c>
      <c r="W36" s="41">
        <f t="shared" ref="W36:AO36" si="35">+D36/C36-1</f>
        <v>0.17486406831575985</v>
      </c>
      <c r="X36" s="41">
        <f t="shared" si="35"/>
        <v>0.15634987703275161</v>
      </c>
      <c r="Y36" s="41">
        <f t="shared" si="35"/>
        <v>0.20780145214080203</v>
      </c>
      <c r="Z36" s="41">
        <f t="shared" si="35"/>
        <v>0.23577503783493059</v>
      </c>
      <c r="AA36" s="41">
        <f t="shared" si="35"/>
        <v>9.5010452426536496E-2</v>
      </c>
      <c r="AB36" s="41">
        <f t="shared" si="35"/>
        <v>9.4511562774809432E-2</v>
      </c>
      <c r="AC36" s="41">
        <f t="shared" si="35"/>
        <v>0.12898608459317429</v>
      </c>
      <c r="AD36" s="41">
        <f t="shared" si="35"/>
        <v>0.10415211721269713</v>
      </c>
      <c r="AE36" s="41">
        <f t="shared" si="35"/>
        <v>9.5560904139988967E-2</v>
      </c>
      <c r="AF36" s="41">
        <f t="shared" si="35"/>
        <v>3.5590417213509085E-2</v>
      </c>
      <c r="AG36" s="41">
        <f t="shared" si="35"/>
        <v>0.10311113744122768</v>
      </c>
      <c r="AH36" s="41">
        <f t="shared" si="35"/>
        <v>5.7959441576227011E-2</v>
      </c>
      <c r="AI36" s="41">
        <f t="shared" si="35"/>
        <v>0.12354356987913007</v>
      </c>
      <c r="AJ36" s="41">
        <f t="shared" si="35"/>
        <v>5.4326929838088844E-4</v>
      </c>
      <c r="AK36" s="41">
        <f t="shared" si="35"/>
        <v>5.5031304975596385E-2</v>
      </c>
      <c r="AL36" s="41">
        <f t="shared" si="35"/>
        <v>3.2885803012610015E-2</v>
      </c>
      <c r="AM36" s="41">
        <f t="shared" si="35"/>
        <v>3.0389189049724763E-2</v>
      </c>
      <c r="AN36" s="41">
        <f t="shared" si="35"/>
        <v>6.6218404704562417E-2</v>
      </c>
      <c r="AO36" s="41">
        <f t="shared" si="35"/>
        <v>-6.423398607874109E-3</v>
      </c>
    </row>
    <row r="37" spans="1:41" ht="13" x14ac:dyDescent="0.3">
      <c r="A37" s="16"/>
      <c r="B37" s="17"/>
      <c r="C37" s="21"/>
      <c r="D37" s="21"/>
      <c r="E37" s="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</row>
    <row r="38" spans="1:41" ht="13" x14ac:dyDescent="0.3">
      <c r="A38" s="16">
        <v>3</v>
      </c>
      <c r="B38" s="3" t="s">
        <v>16</v>
      </c>
      <c r="C38" s="5">
        <f>+C36-C46</f>
        <v>983555.70999999985</v>
      </c>
      <c r="D38" s="5">
        <f>+D36-D46</f>
        <v>1232595.0999999999</v>
      </c>
      <c r="E38" s="38">
        <f>+E36-E46</f>
        <v>1566922.1</v>
      </c>
      <c r="F38" s="5">
        <f>+F36-F46</f>
        <v>1943888.7511084902</v>
      </c>
      <c r="G38" s="5">
        <f>G40+G56+G65-G46</f>
        <v>2444550.4000000004</v>
      </c>
      <c r="H38" s="5">
        <f>H40+H56+H65-H46</f>
        <v>2684042.6203386998</v>
      </c>
      <c r="I38" s="5">
        <f>I40+I56+I65-I46</f>
        <v>2959513.5724486304</v>
      </c>
      <c r="J38" s="5">
        <f>J40+J56+J65-J46</f>
        <v>3286222.6856279098</v>
      </c>
      <c r="K38" s="5">
        <v>3622896.4069249202</v>
      </c>
      <c r="L38" s="5">
        <f t="shared" ref="L38:Q38" si="36">L40+L56+L65-L46</f>
        <v>3943478.5216679098</v>
      </c>
      <c r="M38" s="5">
        <f t="shared" si="36"/>
        <v>4048558.9242696892</v>
      </c>
      <c r="N38" s="5">
        <f t="shared" si="36"/>
        <v>4383701.6318893796</v>
      </c>
      <c r="O38" s="5">
        <f t="shared" si="36"/>
        <v>4517542.8832080113</v>
      </c>
      <c r="P38" s="5">
        <f t="shared" si="36"/>
        <v>4936763.7365530506</v>
      </c>
      <c r="Q38" s="5">
        <f t="shared" si="36"/>
        <v>4764682.80632615</v>
      </c>
      <c r="R38" s="5">
        <f>R40+R56+R65-R46</f>
        <v>4927315.588576139</v>
      </c>
      <c r="S38" s="5">
        <f>S40+S56+S65-S46</f>
        <v>4975936.1590646887</v>
      </c>
      <c r="T38" s="5">
        <f>T40+T56+T65-T46</f>
        <v>5024330.1643862193</v>
      </c>
      <c r="U38" s="5">
        <f>U40+U56+U65-U46</f>
        <v>5399578.6123208199</v>
      </c>
      <c r="V38" s="5">
        <f>V40+V56+V65-V46</f>
        <v>5500860.0267968597</v>
      </c>
      <c r="W38" s="32">
        <f t="shared" ref="W38:AO38" si="37">+D38/C38-1</f>
        <v>0.25320313579390441</v>
      </c>
      <c r="X38" s="32">
        <f t="shared" si="37"/>
        <v>0.27123830039564512</v>
      </c>
      <c r="Y38" s="32">
        <f t="shared" si="37"/>
        <v>0.24057778692922271</v>
      </c>
      <c r="Z38" s="32">
        <f t="shared" si="37"/>
        <v>0.2575567396056031</v>
      </c>
      <c r="AA38" s="32">
        <f t="shared" si="37"/>
        <v>9.796984359115668E-2</v>
      </c>
      <c r="AB38" s="32">
        <f t="shared" si="37"/>
        <v>0.10263285315311754</v>
      </c>
      <c r="AC38" s="32">
        <f t="shared" si="37"/>
        <v>0.11039284165504548</v>
      </c>
      <c r="AD38" s="32">
        <f t="shared" si="37"/>
        <v>0.10245006303724691</v>
      </c>
      <c r="AE38" s="32">
        <f t="shared" si="37"/>
        <v>8.8487795049899454E-2</v>
      </c>
      <c r="AF38" s="32">
        <f t="shared" si="37"/>
        <v>2.6646627342941764E-2</v>
      </c>
      <c r="AG38" s="32">
        <f t="shared" si="37"/>
        <v>8.2780740971960975E-2</v>
      </c>
      <c r="AH38" s="32">
        <f t="shared" si="37"/>
        <v>3.0531560438556982E-2</v>
      </c>
      <c r="AI38" s="32">
        <f t="shared" si="37"/>
        <v>9.2798422545873116E-2</v>
      </c>
      <c r="AJ38" s="32">
        <f t="shared" si="37"/>
        <v>-3.4857031733718569E-2</v>
      </c>
      <c r="AK38" s="32">
        <f t="shared" si="37"/>
        <v>3.4132971461197537E-2</v>
      </c>
      <c r="AL38" s="32">
        <f t="shared" si="37"/>
        <v>9.8675576212887695E-3</v>
      </c>
      <c r="AM38" s="32">
        <f t="shared" si="37"/>
        <v>9.725608161867294E-3</v>
      </c>
      <c r="AN38" s="32">
        <f t="shared" si="37"/>
        <v>7.4686263771927441E-2</v>
      </c>
      <c r="AO38" s="32">
        <f t="shared" si="37"/>
        <v>1.8757281215414645E-2</v>
      </c>
    </row>
    <row r="39" spans="1:41" x14ac:dyDescent="0.25">
      <c r="C39" s="6"/>
      <c r="D39" s="6"/>
      <c r="E39" s="37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</row>
    <row r="40" spans="1:41" ht="13" x14ac:dyDescent="0.3">
      <c r="B40" s="17" t="s">
        <v>1</v>
      </c>
      <c r="C40" s="21">
        <f>+C43+C44+C45+C46+C50</f>
        <v>1323111.9099999999</v>
      </c>
      <c r="D40" s="21">
        <f t="shared" ref="D40:J40" si="38">+D43+D44+D45+D46+D50</f>
        <v>1507463.2</v>
      </c>
      <c r="E40" s="39">
        <f t="shared" si="38"/>
        <v>1672635.6</v>
      </c>
      <c r="F40" s="21">
        <f t="shared" si="38"/>
        <v>2063875.6511084901</v>
      </c>
      <c r="G40" s="21">
        <f t="shared" si="38"/>
        <v>2575721.9000000004</v>
      </c>
      <c r="H40" s="21">
        <f t="shared" si="38"/>
        <v>2854102.4754265798</v>
      </c>
      <c r="I40" s="21">
        <f t="shared" si="38"/>
        <v>3128843.0077879601</v>
      </c>
      <c r="J40" s="21">
        <f t="shared" si="38"/>
        <v>3538554.42183547</v>
      </c>
      <c r="K40" s="21">
        <v>3870488.3708277498</v>
      </c>
      <c r="L40" s="21">
        <f t="shared" ref="L40:Q40" si="39">+L43+L44+L45+L46+L50</f>
        <v>4217995.5228716098</v>
      </c>
      <c r="M40" s="21">
        <f t="shared" si="39"/>
        <v>4453767.1744988598</v>
      </c>
      <c r="N40" s="21">
        <f t="shared" si="39"/>
        <v>4871894.6233396996</v>
      </c>
      <c r="O40" s="21">
        <f t="shared" si="39"/>
        <v>5218470.591880871</v>
      </c>
      <c r="P40" s="21">
        <f t="shared" si="39"/>
        <v>5694130.4878626298</v>
      </c>
      <c r="Q40" s="21">
        <f t="shared" si="39"/>
        <v>5929070.9868430402</v>
      </c>
      <c r="R40" s="21">
        <f>+R43+R44+R45+R46+R50</f>
        <v>6153861.7507969188</v>
      </c>
      <c r="S40" s="21">
        <f>+S43+S44+S45+S46+S50</f>
        <v>6372608.0297274794</v>
      </c>
      <c r="T40" s="21">
        <f>+T43+T44+T45+T46+T50</f>
        <v>6565227.0489782803</v>
      </c>
      <c r="U40" s="21">
        <f>+U43+U44+U45+U46+U50</f>
        <v>6904622.47980115</v>
      </c>
      <c r="V40" s="21">
        <f>+V43+V44+V45+V46+V50</f>
        <v>6783870.2654773798</v>
      </c>
      <c r="W40" s="29">
        <f t="shared" ref="W40:AO40" si="40">+D40/C40-1</f>
        <v>0.13933159289602348</v>
      </c>
      <c r="X40" s="29">
        <f t="shared" si="40"/>
        <v>0.10956977258217648</v>
      </c>
      <c r="Y40" s="29">
        <f t="shared" si="40"/>
        <v>0.2339063278986111</v>
      </c>
      <c r="Z40" s="29">
        <f t="shared" si="40"/>
        <v>0.24800246498213308</v>
      </c>
      <c r="AA40" s="29">
        <f t="shared" si="40"/>
        <v>0.10807866153041568</v>
      </c>
      <c r="AB40" s="29">
        <f t="shared" si="40"/>
        <v>9.6261621552434562E-2</v>
      </c>
      <c r="AC40" s="29">
        <f t="shared" si="40"/>
        <v>0.13094661925437068</v>
      </c>
      <c r="AD40" s="29">
        <f t="shared" si="40"/>
        <v>9.3804958020146545E-2</v>
      </c>
      <c r="AE40" s="29">
        <f t="shared" si="40"/>
        <v>8.9783799549187471E-2</v>
      </c>
      <c r="AF40" s="29">
        <f t="shared" si="40"/>
        <v>5.5896610214213105E-2</v>
      </c>
      <c r="AG40" s="29">
        <f t="shared" si="40"/>
        <v>9.3881748295000955E-2</v>
      </c>
      <c r="AH40" s="29">
        <f t="shared" si="40"/>
        <v>7.1137821183741456E-2</v>
      </c>
      <c r="AI40" s="29">
        <f t="shared" si="40"/>
        <v>9.1149291273541211E-2</v>
      </c>
      <c r="AJ40" s="29">
        <f t="shared" si="40"/>
        <v>4.1260118552112424E-2</v>
      </c>
      <c r="AK40" s="29">
        <f t="shared" si="40"/>
        <v>3.7913319717828076E-2</v>
      </c>
      <c r="AL40" s="29">
        <f t="shared" si="40"/>
        <v>3.5546180234262481E-2</v>
      </c>
      <c r="AM40" s="29">
        <f t="shared" si="40"/>
        <v>3.0226089279656865E-2</v>
      </c>
      <c r="AN40" s="29">
        <f t="shared" si="40"/>
        <v>5.1695916727767743E-2</v>
      </c>
      <c r="AO40" s="29">
        <f t="shared" si="40"/>
        <v>-1.7488604869711599E-2</v>
      </c>
    </row>
    <row r="41" spans="1:41" x14ac:dyDescent="0.25">
      <c r="C41" s="20"/>
      <c r="D41" s="6"/>
      <c r="E41" s="37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</row>
    <row r="42" spans="1:41" ht="13" x14ac:dyDescent="0.3">
      <c r="B42" s="26" t="s">
        <v>39</v>
      </c>
      <c r="C42" s="5">
        <f>SUM(C43:C44)</f>
        <v>503427.20999999996</v>
      </c>
      <c r="D42" s="5">
        <f t="shared" ref="D42:J42" si="41">SUM(D43:D44)</f>
        <v>567248.69999999995</v>
      </c>
      <c r="E42" s="38">
        <f t="shared" si="41"/>
        <v>656220.20000000007</v>
      </c>
      <c r="F42" s="5">
        <f t="shared" si="41"/>
        <v>871374.6</v>
      </c>
      <c r="G42" s="5">
        <f t="shared" si="41"/>
        <v>1055564</v>
      </c>
      <c r="H42" s="5">
        <f t="shared" si="41"/>
        <v>1184954.50143305</v>
      </c>
      <c r="I42" s="5">
        <f t="shared" si="41"/>
        <v>1295213.3126213402</v>
      </c>
      <c r="J42" s="5">
        <f t="shared" si="41"/>
        <v>1428314.4876555698</v>
      </c>
      <c r="K42" s="5">
        <v>1540930.3442778899</v>
      </c>
      <c r="L42" s="5">
        <f t="shared" ref="L42:Q42" si="42">SUM(L43:L44)</f>
        <v>1657096.1169382599</v>
      </c>
      <c r="M42" s="5">
        <f t="shared" si="42"/>
        <v>1709850.5089129498</v>
      </c>
      <c r="N42" s="5">
        <f t="shared" si="42"/>
        <v>1795764.53684007</v>
      </c>
      <c r="O42" s="5">
        <f t="shared" si="42"/>
        <v>1876491.69797293</v>
      </c>
      <c r="P42" s="5">
        <f t="shared" si="42"/>
        <v>1944196.44813207</v>
      </c>
      <c r="Q42" s="5">
        <f t="shared" si="42"/>
        <v>1955539.8816066198</v>
      </c>
      <c r="R42" s="5">
        <f>SUM(R43:R44)</f>
        <v>2054147.8790824991</v>
      </c>
      <c r="S42" s="5">
        <f>SUM(S43:S44)</f>
        <v>2064027.2515457098</v>
      </c>
      <c r="T42" s="5">
        <f>SUM(T43:T44)</f>
        <v>2099077.4388294802</v>
      </c>
      <c r="U42" s="5">
        <f>SUM(U43:U44)</f>
        <v>2241152.6918240897</v>
      </c>
      <c r="V42" s="5">
        <f>SUM(V43:V44)</f>
        <v>2259133.0984708299</v>
      </c>
      <c r="W42" s="32">
        <f t="shared" ref="W42:AF48" si="43">+D42/C42-1</f>
        <v>0.12677401763802165</v>
      </c>
      <c r="X42" s="32">
        <f t="shared" si="43"/>
        <v>0.15684742864990286</v>
      </c>
      <c r="Y42" s="32">
        <f t="shared" si="43"/>
        <v>0.32786921219432119</v>
      </c>
      <c r="Z42" s="32">
        <f t="shared" si="43"/>
        <v>0.21137797681961357</v>
      </c>
      <c r="AA42" s="32">
        <f t="shared" si="43"/>
        <v>0.12257949440588156</v>
      </c>
      <c r="AB42" s="32">
        <f t="shared" si="43"/>
        <v>9.3048982939806013E-2</v>
      </c>
      <c r="AC42" s="32">
        <f t="shared" si="43"/>
        <v>0.10276390285461967</v>
      </c>
      <c r="AD42" s="32">
        <f t="shared" si="43"/>
        <v>7.8845280640657434E-2</v>
      </c>
      <c r="AE42" s="32">
        <f t="shared" si="43"/>
        <v>7.5386777275002315E-2</v>
      </c>
      <c r="AF42" s="32">
        <f t="shared" si="43"/>
        <v>3.1835444809418689E-2</v>
      </c>
      <c r="AG42" s="32">
        <f t="shared" ref="AG42:AO48" si="44">+N42/M42-1</f>
        <v>5.0246514229913997E-2</v>
      </c>
      <c r="AH42" s="32">
        <f t="shared" si="44"/>
        <v>4.4954201665499127E-2</v>
      </c>
      <c r="AI42" s="32">
        <f t="shared" si="44"/>
        <v>3.6080495443852945E-2</v>
      </c>
      <c r="AJ42" s="32">
        <f t="shared" si="44"/>
        <v>5.834509925912279E-3</v>
      </c>
      <c r="AK42" s="32">
        <f t="shared" si="44"/>
        <v>5.04249483241761E-2</v>
      </c>
      <c r="AL42" s="32">
        <f t="shared" si="44"/>
        <v>4.8094748016016542E-3</v>
      </c>
      <c r="AM42" s="32">
        <f t="shared" si="44"/>
        <v>1.698145567483289E-2</v>
      </c>
      <c r="AN42" s="32">
        <f t="shared" si="44"/>
        <v>6.7684617235386879E-2</v>
      </c>
      <c r="AO42" s="32">
        <f t="shared" si="44"/>
        <v>8.0228387438010529E-3</v>
      </c>
    </row>
    <row r="43" spans="1:41" x14ac:dyDescent="0.25">
      <c r="B43" s="26" t="s">
        <v>2</v>
      </c>
      <c r="C43" s="6">
        <v>419116.81</v>
      </c>
      <c r="D43" s="6">
        <v>473028.1</v>
      </c>
      <c r="E43" s="40">
        <v>547082.80000000005</v>
      </c>
      <c r="F43" s="27">
        <v>726004.2</v>
      </c>
      <c r="G43" s="27">
        <v>880393.6</v>
      </c>
      <c r="H43" s="27">
        <v>985771.26214878005</v>
      </c>
      <c r="I43" s="27">
        <v>1074743.8624255101</v>
      </c>
      <c r="J43" s="27">
        <v>1185906.1053222299</v>
      </c>
      <c r="K43" s="27">
        <v>1283291.2241199401</v>
      </c>
      <c r="L43" s="27">
        <v>1372058.8622405799</v>
      </c>
      <c r="M43" s="27">
        <v>1418570.35610933</v>
      </c>
      <c r="N43" s="27">
        <v>1477101.8929126</v>
      </c>
      <c r="O43" s="27">
        <v>1553184.0766497999</v>
      </c>
      <c r="P43" s="27">
        <v>1599825.1673757699</v>
      </c>
      <c r="Q43" s="27">
        <v>1608388.5771649799</v>
      </c>
      <c r="R43" s="27">
        <v>1687155.6041829393</v>
      </c>
      <c r="S43" s="27">
        <v>1684292.8410165997</v>
      </c>
      <c r="T43" s="27">
        <v>1695775.1876544</v>
      </c>
      <c r="U43" s="27">
        <v>1834802.77456552</v>
      </c>
      <c r="V43" s="27">
        <v>1856717.0011523098</v>
      </c>
      <c r="W43" s="31">
        <f t="shared" si="43"/>
        <v>0.12863070321612713</v>
      </c>
      <c r="X43" s="31">
        <f t="shared" si="43"/>
        <v>0.15655454718229223</v>
      </c>
      <c r="Y43" s="31">
        <f t="shared" si="43"/>
        <v>0.32704628988518714</v>
      </c>
      <c r="Z43" s="31">
        <f t="shared" si="43"/>
        <v>0.21265634551425472</v>
      </c>
      <c r="AA43" s="31">
        <f t="shared" si="43"/>
        <v>0.11969380757513459</v>
      </c>
      <c r="AB43" s="31">
        <f t="shared" si="43"/>
        <v>9.025684120958033E-2</v>
      </c>
      <c r="AC43" s="31">
        <f t="shared" si="43"/>
        <v>0.10343138191628842</v>
      </c>
      <c r="AD43" s="31">
        <f t="shared" si="43"/>
        <v>8.2118743094967916E-2</v>
      </c>
      <c r="AE43" s="31">
        <f t="shared" si="43"/>
        <v>6.9171857838827844E-2</v>
      </c>
      <c r="AF43" s="31">
        <f t="shared" si="43"/>
        <v>3.3899051380927192E-2</v>
      </c>
      <c r="AG43" s="31">
        <f t="shared" si="44"/>
        <v>4.126093327073499E-2</v>
      </c>
      <c r="AH43" s="31">
        <f t="shared" si="44"/>
        <v>5.150774235836808E-2</v>
      </c>
      <c r="AI43" s="31">
        <f t="shared" si="44"/>
        <v>3.0029338715971354E-2</v>
      </c>
      <c r="AJ43" s="31">
        <f t="shared" si="44"/>
        <v>5.3527160116231265E-3</v>
      </c>
      <c r="AK43" s="31">
        <f t="shared" si="44"/>
        <v>4.8972635180484669E-2</v>
      </c>
      <c r="AL43" s="31">
        <f t="shared" si="44"/>
        <v>-1.6967985402425168E-3</v>
      </c>
      <c r="AM43" s="31">
        <f t="shared" si="44"/>
        <v>6.817310124568321E-3</v>
      </c>
      <c r="AN43" s="31">
        <f t="shared" si="44"/>
        <v>8.1984680471367977E-2</v>
      </c>
      <c r="AO43" s="31">
        <f t="shared" si="44"/>
        <v>1.1943641513175285E-2</v>
      </c>
    </row>
    <row r="44" spans="1:41" ht="14.5" x14ac:dyDescent="0.25">
      <c r="B44" s="26" t="s">
        <v>81</v>
      </c>
      <c r="C44" s="6">
        <v>84310.399999999994</v>
      </c>
      <c r="D44" s="6">
        <v>94220.6</v>
      </c>
      <c r="E44" s="37">
        <v>109137.4</v>
      </c>
      <c r="F44" s="6">
        <v>145370.4</v>
      </c>
      <c r="G44" s="6">
        <v>175170.4</v>
      </c>
      <c r="H44" s="6">
        <v>199183.23928427001</v>
      </c>
      <c r="I44" s="6">
        <v>220469.45019583</v>
      </c>
      <c r="J44" s="6">
        <v>242408.38233334001</v>
      </c>
      <c r="K44" s="6">
        <v>257639.12015795</v>
      </c>
      <c r="L44" s="6">
        <v>285037.25469768001</v>
      </c>
      <c r="M44" s="6">
        <v>291280.15280361997</v>
      </c>
      <c r="N44" s="6">
        <v>318662.64392747002</v>
      </c>
      <c r="O44" s="6">
        <v>323307.62132312998</v>
      </c>
      <c r="P44" s="6">
        <v>344371.28075630002</v>
      </c>
      <c r="Q44" s="6">
        <v>347151.30444163998</v>
      </c>
      <c r="R44" s="6">
        <v>366992.27489955991</v>
      </c>
      <c r="S44" s="6">
        <v>379734.41052911006</v>
      </c>
      <c r="T44" s="6">
        <v>403302.25117508008</v>
      </c>
      <c r="U44" s="6">
        <v>406349.91725856997</v>
      </c>
      <c r="V44" s="6">
        <v>402416.09731851995</v>
      </c>
      <c r="W44" s="31">
        <f t="shared" si="43"/>
        <v>0.11754421755797639</v>
      </c>
      <c r="X44" s="31">
        <f t="shared" si="43"/>
        <v>0.15831782009454387</v>
      </c>
      <c r="Y44" s="31">
        <f t="shared" si="43"/>
        <v>0.33199434840851993</v>
      </c>
      <c r="Z44" s="31">
        <f t="shared" si="43"/>
        <v>0.20499358879111562</v>
      </c>
      <c r="AA44" s="31">
        <f t="shared" si="43"/>
        <v>0.13708274505435858</v>
      </c>
      <c r="AB44" s="31">
        <f t="shared" si="43"/>
        <v>0.10686748035652127</v>
      </c>
      <c r="AC44" s="31">
        <f t="shared" si="43"/>
        <v>9.9510077781855832E-2</v>
      </c>
      <c r="AD44" s="31">
        <f t="shared" si="43"/>
        <v>6.2830904104899998E-2</v>
      </c>
      <c r="AE44" s="31">
        <f t="shared" si="43"/>
        <v>0.10634306825350559</v>
      </c>
      <c r="AF44" s="31">
        <f t="shared" si="43"/>
        <v>2.1902042638466401E-2</v>
      </c>
      <c r="AG44" s="31">
        <f t="shared" si="44"/>
        <v>9.4007404419041318E-2</v>
      </c>
      <c r="AH44" s="31">
        <f t="shared" si="44"/>
        <v>1.4576472906931537E-2</v>
      </c>
      <c r="AI44" s="31">
        <f t="shared" si="44"/>
        <v>6.5150519331921286E-2</v>
      </c>
      <c r="AJ44" s="31">
        <f t="shared" si="44"/>
        <v>8.0727512446292504E-3</v>
      </c>
      <c r="AK44" s="31">
        <f t="shared" si="44"/>
        <v>5.7153668167349236E-2</v>
      </c>
      <c r="AL44" s="31">
        <f t="shared" si="44"/>
        <v>3.4720446453641252E-2</v>
      </c>
      <c r="AM44" s="31">
        <f t="shared" si="44"/>
        <v>6.2064011036375044E-2</v>
      </c>
      <c r="AN44" s="31">
        <f t="shared" si="44"/>
        <v>7.5567792508226539E-3</v>
      </c>
      <c r="AO44" s="31">
        <f t="shared" si="44"/>
        <v>-9.6808680720041895E-3</v>
      </c>
    </row>
    <row r="45" spans="1:41" ht="14.5" x14ac:dyDescent="0.25">
      <c r="B45" s="1" t="s">
        <v>82</v>
      </c>
      <c r="C45" s="6">
        <v>36331.4</v>
      </c>
      <c r="D45" s="6">
        <v>46972.1</v>
      </c>
      <c r="E45" s="37">
        <v>58641.7</v>
      </c>
      <c r="F45" s="6">
        <v>73867.100000000006</v>
      </c>
      <c r="G45" s="6">
        <v>83651.600000000006</v>
      </c>
      <c r="H45" s="6">
        <v>91780.877216630004</v>
      </c>
      <c r="I45" s="6">
        <v>98893.870640780005</v>
      </c>
      <c r="J45" s="6">
        <v>110584.35164553999</v>
      </c>
      <c r="K45" s="6">
        <v>125202.43074352</v>
      </c>
      <c r="L45" s="6">
        <v>135464.91975716999</v>
      </c>
      <c r="M45" s="6">
        <v>135367.87273166</v>
      </c>
      <c r="N45" s="6">
        <v>153623.89046363</v>
      </c>
      <c r="O45" s="6">
        <v>155589.32398514001</v>
      </c>
      <c r="P45" s="6">
        <v>162311.28383122999</v>
      </c>
      <c r="Q45" s="6">
        <v>171941.53171327</v>
      </c>
      <c r="R45" s="6">
        <v>225242.89306353006</v>
      </c>
      <c r="S45" s="6">
        <v>241904.75094041001</v>
      </c>
      <c r="T45" s="6">
        <v>232235.51701931996</v>
      </c>
      <c r="U45" s="6">
        <v>241152.84268931998</v>
      </c>
      <c r="V45" s="6">
        <v>249189.13703880992</v>
      </c>
      <c r="W45" s="31">
        <f t="shared" si="43"/>
        <v>0.29287888713344379</v>
      </c>
      <c r="X45" s="31">
        <f t="shared" si="43"/>
        <v>0.24843683803789918</v>
      </c>
      <c r="Y45" s="31">
        <f t="shared" si="43"/>
        <v>0.25963435575708083</v>
      </c>
      <c r="Z45" s="31">
        <f t="shared" si="43"/>
        <v>0.13246086552741332</v>
      </c>
      <c r="AA45" s="31">
        <f t="shared" si="43"/>
        <v>9.7180176071109292E-2</v>
      </c>
      <c r="AB45" s="31">
        <f t="shared" si="43"/>
        <v>7.7499732404618715E-2</v>
      </c>
      <c r="AC45" s="31">
        <f t="shared" si="43"/>
        <v>0.1182123920219913</v>
      </c>
      <c r="AD45" s="31">
        <f t="shared" si="43"/>
        <v>0.13218940004129931</v>
      </c>
      <c r="AE45" s="31">
        <f t="shared" si="43"/>
        <v>8.1967170706716885E-2</v>
      </c>
      <c r="AF45" s="31">
        <f t="shared" si="43"/>
        <v>-7.1639968254477715E-4</v>
      </c>
      <c r="AG45" s="31">
        <f t="shared" si="44"/>
        <v>0.13486226357533848</v>
      </c>
      <c r="AH45" s="31">
        <f t="shared" si="44"/>
        <v>1.2793801247829473E-2</v>
      </c>
      <c r="AI45" s="31">
        <f t="shared" si="44"/>
        <v>4.3203220336197168E-2</v>
      </c>
      <c r="AJ45" s="31">
        <f t="shared" si="44"/>
        <v>5.9331967899739269E-2</v>
      </c>
      <c r="AK45" s="31">
        <f t="shared" si="44"/>
        <v>0.30999701363103771</v>
      </c>
      <c r="AL45" s="31">
        <f t="shared" si="44"/>
        <v>7.3972846158482097E-2</v>
      </c>
      <c r="AM45" s="31">
        <f t="shared" si="44"/>
        <v>-3.9971244398882999E-2</v>
      </c>
      <c r="AN45" s="31">
        <f t="shared" si="44"/>
        <v>3.8397768715360492E-2</v>
      </c>
      <c r="AO45" s="31">
        <f t="shared" si="44"/>
        <v>3.332448525121956E-2</v>
      </c>
    </row>
    <row r="46" spans="1:41" ht="13" x14ac:dyDescent="0.3">
      <c r="B46" s="1" t="s">
        <v>17</v>
      </c>
      <c r="C46" s="5">
        <f>+C47+C48</f>
        <v>399155.4</v>
      </c>
      <c r="D46" s="5">
        <f t="shared" ref="D46:J46" si="45">+D47+D48</f>
        <v>391902.5</v>
      </c>
      <c r="E46" s="38">
        <f t="shared" si="45"/>
        <v>311565.5</v>
      </c>
      <c r="F46" s="5">
        <f t="shared" si="45"/>
        <v>324951.3</v>
      </c>
      <c r="G46" s="5">
        <f t="shared" si="45"/>
        <v>359225.5</v>
      </c>
      <c r="H46" s="5">
        <f t="shared" si="45"/>
        <v>386121.29642291996</v>
      </c>
      <c r="I46" s="5">
        <f t="shared" si="45"/>
        <v>400816.33406096004</v>
      </c>
      <c r="J46" s="5">
        <f t="shared" si="45"/>
        <v>507543.01846370002</v>
      </c>
      <c r="K46" s="5">
        <v>565998.02745675005</v>
      </c>
      <c r="L46" s="5">
        <f t="shared" ref="L46:Q46" si="46">+L47+L48</f>
        <v>645710.45221024007</v>
      </c>
      <c r="M46" s="5">
        <f t="shared" si="46"/>
        <v>703961.19986042008</v>
      </c>
      <c r="N46" s="5">
        <f t="shared" si="46"/>
        <v>858856.24795211002</v>
      </c>
      <c r="O46" s="5">
        <f t="shared" si="46"/>
        <v>1028870.72378014</v>
      </c>
      <c r="P46" s="5">
        <f t="shared" si="46"/>
        <v>1294873.6074685999</v>
      </c>
      <c r="Q46" s="5">
        <f t="shared" si="46"/>
        <v>1470339.9949431501</v>
      </c>
      <c r="R46" s="5">
        <f>+R47+R48</f>
        <v>1650828.6539996099</v>
      </c>
      <c r="S46" s="5">
        <f>+S47+S48</f>
        <v>1818535.6392609403</v>
      </c>
      <c r="T46" s="5">
        <f>+T47+T48</f>
        <v>1976620.1219117502</v>
      </c>
      <c r="U46" s="5">
        <f>+U47+U48</f>
        <v>2064963.43335175</v>
      </c>
      <c r="V46" s="5">
        <f>+V47+V48</f>
        <v>1915734.2898911198</v>
      </c>
      <c r="W46" s="32">
        <f t="shared" si="43"/>
        <v>-1.8170617258341015E-2</v>
      </c>
      <c r="X46" s="32">
        <f t="shared" si="43"/>
        <v>-0.20499231313910982</v>
      </c>
      <c r="Y46" s="32">
        <f t="shared" si="43"/>
        <v>4.296303666484258E-2</v>
      </c>
      <c r="Z46" s="32">
        <f t="shared" si="43"/>
        <v>0.10547488192846122</v>
      </c>
      <c r="AA46" s="32">
        <f t="shared" si="43"/>
        <v>7.4871623598324666E-2</v>
      </c>
      <c r="AB46" s="32">
        <f t="shared" si="43"/>
        <v>3.8058086342755315E-2</v>
      </c>
      <c r="AC46" s="32">
        <f t="shared" si="43"/>
        <v>0.26627329111419873</v>
      </c>
      <c r="AD46" s="32">
        <f t="shared" si="43"/>
        <v>0.11517252108006448</v>
      </c>
      <c r="AE46" s="32">
        <f t="shared" si="43"/>
        <v>0.14083516352816461</v>
      </c>
      <c r="AF46" s="32">
        <f t="shared" si="43"/>
        <v>9.0211870430144225E-2</v>
      </c>
      <c r="AG46" s="32">
        <f t="shared" si="44"/>
        <v>0.22003350202028482</v>
      </c>
      <c r="AH46" s="32">
        <f t="shared" si="44"/>
        <v>0.19795451943607456</v>
      </c>
      <c r="AI46" s="32">
        <f t="shared" si="44"/>
        <v>0.25853868473499508</v>
      </c>
      <c r="AJ46" s="32">
        <f t="shared" si="44"/>
        <v>0.1355085055888785</v>
      </c>
      <c r="AK46" s="32">
        <f t="shared" si="44"/>
        <v>0.12275300928846611</v>
      </c>
      <c r="AL46" s="32">
        <f t="shared" si="44"/>
        <v>0.10158957736468399</v>
      </c>
      <c r="AM46" s="32">
        <f t="shared" si="44"/>
        <v>8.6929548829219661E-2</v>
      </c>
      <c r="AN46" s="32">
        <f t="shared" si="44"/>
        <v>4.4694127344284906E-2</v>
      </c>
      <c r="AO46" s="32">
        <f t="shared" si="44"/>
        <v>-7.2267208731347177E-2</v>
      </c>
    </row>
    <row r="47" spans="1:41" x14ac:dyDescent="0.25">
      <c r="B47" s="1" t="s">
        <v>3</v>
      </c>
      <c r="C47" s="6">
        <v>321120.5</v>
      </c>
      <c r="D47" s="6">
        <v>313204.7</v>
      </c>
      <c r="E47" s="37">
        <v>235561.7</v>
      </c>
      <c r="F47" s="6">
        <v>247408.9</v>
      </c>
      <c r="G47" s="6">
        <v>295879.40000000002</v>
      </c>
      <c r="H47" s="6">
        <v>328962.27259270998</v>
      </c>
      <c r="I47" s="6">
        <v>355053.73205797002</v>
      </c>
      <c r="J47" s="6">
        <v>456431.10264270002</v>
      </c>
      <c r="K47" s="6">
        <v>470593.20521044999</v>
      </c>
      <c r="L47" s="6">
        <v>516531.41322334</v>
      </c>
      <c r="M47" s="6">
        <v>524524.23157514003</v>
      </c>
      <c r="N47" s="6">
        <v>666001.04524471005</v>
      </c>
      <c r="O47" s="6">
        <v>825655.17538886005</v>
      </c>
      <c r="P47" s="6">
        <v>1088989.38888182</v>
      </c>
      <c r="Q47" s="6">
        <v>1234088.09587573</v>
      </c>
      <c r="R47" s="6">
        <v>1403530.2101712299</v>
      </c>
      <c r="S47" s="6">
        <v>1530781.8368450601</v>
      </c>
      <c r="T47" s="6">
        <v>1599826.2366483901</v>
      </c>
      <c r="U47" s="6">
        <v>1615591.8978765199</v>
      </c>
      <c r="V47" s="6">
        <v>1522555.7218634898</v>
      </c>
      <c r="W47" s="31">
        <f t="shared" si="43"/>
        <v>-2.4650559525162596E-2</v>
      </c>
      <c r="X47" s="31">
        <f t="shared" si="43"/>
        <v>-0.24789857878888788</v>
      </c>
      <c r="Y47" s="31">
        <f t="shared" si="43"/>
        <v>5.0293405082405096E-2</v>
      </c>
      <c r="Z47" s="31">
        <f t="shared" si="43"/>
        <v>0.19591251567748791</v>
      </c>
      <c r="AA47" s="31">
        <f t="shared" si="43"/>
        <v>0.11181201730404333</v>
      </c>
      <c r="AB47" s="31">
        <f t="shared" si="43"/>
        <v>7.9314443141520918E-2</v>
      </c>
      <c r="AC47" s="31">
        <f t="shared" si="43"/>
        <v>0.2855268412392804</v>
      </c>
      <c r="AD47" s="31">
        <f t="shared" si="43"/>
        <v>3.1027908671763527E-2</v>
      </c>
      <c r="AE47" s="31">
        <f t="shared" si="43"/>
        <v>9.7617661080223961E-2</v>
      </c>
      <c r="AF47" s="31">
        <f t="shared" si="43"/>
        <v>1.5474021806189953E-2</v>
      </c>
      <c r="AG47" s="31">
        <f t="shared" si="44"/>
        <v>0.26972407593966974</v>
      </c>
      <c r="AH47" s="31">
        <f t="shared" si="44"/>
        <v>0.23972053990619191</v>
      </c>
      <c r="AI47" s="31">
        <f t="shared" si="44"/>
        <v>0.31893969945617684</v>
      </c>
      <c r="AJ47" s="31">
        <f t="shared" si="44"/>
        <v>0.13324161692970971</v>
      </c>
      <c r="AK47" s="31">
        <f t="shared" si="44"/>
        <v>0.13730147374548718</v>
      </c>
      <c r="AL47" s="31">
        <f t="shared" si="44"/>
        <v>9.0665399114070677E-2</v>
      </c>
      <c r="AM47" s="31">
        <f t="shared" si="44"/>
        <v>4.5104010343910428E-2</v>
      </c>
      <c r="AN47" s="31">
        <f t="shared" si="44"/>
        <v>9.8546084987072291E-3</v>
      </c>
      <c r="AO47" s="31">
        <f t="shared" si="44"/>
        <v>-5.7586433885508881E-2</v>
      </c>
    </row>
    <row r="48" spans="1:41" x14ac:dyDescent="0.25">
      <c r="B48" s="1" t="s">
        <v>4</v>
      </c>
      <c r="C48" s="6">
        <v>78034.899999999994</v>
      </c>
      <c r="D48" s="6">
        <v>78697.8</v>
      </c>
      <c r="E48" s="37">
        <v>76003.8</v>
      </c>
      <c r="F48" s="6">
        <v>77542.399999999994</v>
      </c>
      <c r="G48" s="6">
        <v>63346.1</v>
      </c>
      <c r="H48" s="6">
        <v>57159.023830209997</v>
      </c>
      <c r="I48" s="6">
        <v>45762.602002990003</v>
      </c>
      <c r="J48" s="6">
        <v>51111.915821000002</v>
      </c>
      <c r="K48" s="6">
        <v>95404.822246299998</v>
      </c>
      <c r="L48" s="6">
        <v>129179.03898690001</v>
      </c>
      <c r="M48" s="6">
        <v>179436.96828527999</v>
      </c>
      <c r="N48" s="6">
        <v>192855.20270739999</v>
      </c>
      <c r="O48" s="6">
        <v>203215.54839128</v>
      </c>
      <c r="P48" s="6">
        <v>205884.21858678001</v>
      </c>
      <c r="Q48" s="6">
        <v>236251.89906741999</v>
      </c>
      <c r="R48" s="6">
        <v>247298.44382838</v>
      </c>
      <c r="S48" s="6">
        <v>287753.80241588003</v>
      </c>
      <c r="T48" s="6">
        <v>376793.88526335999</v>
      </c>
      <c r="U48" s="6">
        <v>449371.53547522996</v>
      </c>
      <c r="V48" s="6">
        <v>393178.56802762998</v>
      </c>
      <c r="W48" s="31">
        <f t="shared" si="43"/>
        <v>8.4949170178985067E-3</v>
      </c>
      <c r="X48" s="31">
        <f t="shared" si="43"/>
        <v>-3.4232214877671252E-2</v>
      </c>
      <c r="Y48" s="31">
        <f t="shared" si="43"/>
        <v>2.024372465587243E-2</v>
      </c>
      <c r="Z48" s="31">
        <f t="shared" si="43"/>
        <v>-0.18307790318586992</v>
      </c>
      <c r="AA48" s="31">
        <f t="shared" si="43"/>
        <v>-9.7670987950165822E-2</v>
      </c>
      <c r="AB48" s="31">
        <f t="shared" si="43"/>
        <v>-0.19938097370369534</v>
      </c>
      <c r="AC48" s="31">
        <f t="shared" si="43"/>
        <v>0.11689269368163302</v>
      </c>
      <c r="AD48" s="31">
        <f t="shared" si="43"/>
        <v>0.86658669928200327</v>
      </c>
      <c r="AE48" s="31">
        <f t="shared" si="43"/>
        <v>0.35400953479487085</v>
      </c>
      <c r="AF48" s="31">
        <f t="shared" si="43"/>
        <v>0.38905638014133714</v>
      </c>
      <c r="AG48" s="31">
        <f t="shared" si="44"/>
        <v>7.4779654105540105E-2</v>
      </c>
      <c r="AH48" s="31">
        <f t="shared" si="44"/>
        <v>5.3720851387134783E-2</v>
      </c>
      <c r="AI48" s="31">
        <f t="shared" si="44"/>
        <v>1.313221461953118E-2</v>
      </c>
      <c r="AJ48" s="31">
        <f t="shared" si="44"/>
        <v>0.14749882574336315</v>
      </c>
      <c r="AK48" s="31">
        <f t="shared" si="44"/>
        <v>4.6757485567587409E-2</v>
      </c>
      <c r="AL48" s="31">
        <f t="shared" si="44"/>
        <v>0.16358921617628619</v>
      </c>
      <c r="AM48" s="31">
        <f t="shared" si="44"/>
        <v>0.30943147266840842</v>
      </c>
      <c r="AN48" s="31">
        <f t="shared" si="44"/>
        <v>0.19261897034539688</v>
      </c>
      <c r="AO48" s="31">
        <f t="shared" si="44"/>
        <v>-0.12504790137224309</v>
      </c>
    </row>
    <row r="49" spans="1:41" x14ac:dyDescent="0.25">
      <c r="C49" s="6"/>
      <c r="D49" s="6"/>
      <c r="E49" s="37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</row>
    <row r="50" spans="1:41" ht="15" x14ac:dyDescent="0.3">
      <c r="B50" s="1" t="s">
        <v>53</v>
      </c>
      <c r="C50" s="5">
        <f>+C51+C52+C53+C54</f>
        <v>384197.89999999997</v>
      </c>
      <c r="D50" s="5">
        <f t="shared" ref="D50:J50" si="47">+D51+D52+D53+D54</f>
        <v>501339.9</v>
      </c>
      <c r="E50" s="38">
        <f t="shared" si="47"/>
        <v>646208.20000000007</v>
      </c>
      <c r="F50" s="5">
        <f t="shared" si="47"/>
        <v>793682.65110849007</v>
      </c>
      <c r="G50" s="5">
        <f t="shared" si="47"/>
        <v>1077280.8</v>
      </c>
      <c r="H50" s="5">
        <f t="shared" si="47"/>
        <v>1191245.8003539799</v>
      </c>
      <c r="I50" s="5">
        <f t="shared" si="47"/>
        <v>1333919.4904648799</v>
      </c>
      <c r="J50" s="5">
        <f t="shared" si="47"/>
        <v>1492112.5640706599</v>
      </c>
      <c r="K50" s="5">
        <v>1638357.5683496001</v>
      </c>
      <c r="L50" s="5">
        <f t="shared" ref="L50:Q50" si="48">+L51+L52+L53+L54</f>
        <v>1779724.0339659399</v>
      </c>
      <c r="M50" s="5">
        <f t="shared" si="48"/>
        <v>1904587.5929938301</v>
      </c>
      <c r="N50" s="5">
        <f t="shared" si="48"/>
        <v>2063649.9480838897</v>
      </c>
      <c r="O50" s="5">
        <f t="shared" si="48"/>
        <v>2157518.8461426604</v>
      </c>
      <c r="P50" s="5">
        <f t="shared" si="48"/>
        <v>2292749.1484307298</v>
      </c>
      <c r="Q50" s="5">
        <f t="shared" si="48"/>
        <v>2331249.57858</v>
      </c>
      <c r="R50" s="5">
        <f>+R51+R52+R53+R54</f>
        <v>2223642.32465128</v>
      </c>
      <c r="S50" s="5">
        <f>+S51+S52+S53+S54</f>
        <v>2248140.3879804197</v>
      </c>
      <c r="T50" s="5">
        <f>+T51+T52+T53+T54</f>
        <v>2257293.9712177305</v>
      </c>
      <c r="U50" s="5">
        <f>+U51+U52+U53+U54</f>
        <v>2357353.5119359898</v>
      </c>
      <c r="V50" s="5">
        <f>+V51+V52+V53+V54</f>
        <v>2359813.7400766206</v>
      </c>
      <c r="W50" s="32">
        <f t="shared" ref="W50:AF54" si="49">+D50/C50-1</f>
        <v>0.30490015692433525</v>
      </c>
      <c r="X50" s="32">
        <f t="shared" si="49"/>
        <v>0.2889622389919495</v>
      </c>
      <c r="Y50" s="32">
        <f t="shared" si="49"/>
        <v>0.22821507233812577</v>
      </c>
      <c r="Z50" s="32">
        <f t="shared" si="49"/>
        <v>0.35731932466386285</v>
      </c>
      <c r="AA50" s="32">
        <f t="shared" si="49"/>
        <v>0.10578950293552047</v>
      </c>
      <c r="AB50" s="32">
        <f t="shared" si="49"/>
        <v>0.11976847269346447</v>
      </c>
      <c r="AC50" s="32">
        <f t="shared" si="49"/>
        <v>0.11859266974999261</v>
      </c>
      <c r="AD50" s="32">
        <f t="shared" si="49"/>
        <v>9.8012045337897646E-2</v>
      </c>
      <c r="AE50" s="32">
        <f t="shared" si="49"/>
        <v>8.6285477814678435E-2</v>
      </c>
      <c r="AF50" s="32">
        <f t="shared" si="49"/>
        <v>7.0158944108679622E-2</v>
      </c>
      <c r="AG50" s="32">
        <f t="shared" ref="AG50:AO54" si="50">+N50/M50-1</f>
        <v>8.3515379221823505E-2</v>
      </c>
      <c r="AH50" s="32">
        <f t="shared" si="50"/>
        <v>4.548683178846713E-2</v>
      </c>
      <c r="AI50" s="32">
        <f t="shared" si="50"/>
        <v>6.26786192527784E-2</v>
      </c>
      <c r="AJ50" s="32">
        <f t="shared" si="50"/>
        <v>1.6792255784119137E-2</v>
      </c>
      <c r="AK50" s="32">
        <f t="shared" si="50"/>
        <v>-4.6158615927456959E-2</v>
      </c>
      <c r="AL50" s="32">
        <f t="shared" si="50"/>
        <v>1.1017088071024084E-2</v>
      </c>
      <c r="AM50" s="32">
        <f t="shared" si="50"/>
        <v>4.0716243906520067E-3</v>
      </c>
      <c r="AN50" s="32">
        <f t="shared" si="50"/>
        <v>4.4327208593163636E-2</v>
      </c>
      <c r="AO50" s="32">
        <f t="shared" si="50"/>
        <v>1.0436398818309822E-3</v>
      </c>
    </row>
    <row r="51" spans="1:41" x14ac:dyDescent="0.25">
      <c r="B51" s="1" t="s">
        <v>6</v>
      </c>
      <c r="C51" s="6">
        <v>205611.3</v>
      </c>
      <c r="D51" s="6">
        <v>246973.4</v>
      </c>
      <c r="E51" s="37">
        <v>285315.40000000002</v>
      </c>
      <c r="F51" s="6">
        <v>326792.45073480002</v>
      </c>
      <c r="G51" s="6">
        <v>373811.3</v>
      </c>
      <c r="H51" s="6">
        <v>404526.53623552999</v>
      </c>
      <c r="I51" s="6">
        <v>434774.20010070002</v>
      </c>
      <c r="J51" s="6">
        <v>476498.43598697003</v>
      </c>
      <c r="K51" s="6">
        <v>516890.71363970003</v>
      </c>
      <c r="L51" s="6">
        <v>566267.82049531001</v>
      </c>
      <c r="M51" s="6">
        <v>589543.71725816</v>
      </c>
      <c r="N51" s="6">
        <v>614108.67863824998</v>
      </c>
      <c r="O51" s="6">
        <v>650629.40192343004</v>
      </c>
      <c r="P51" s="6">
        <v>667590.37212366995</v>
      </c>
      <c r="Q51" s="6">
        <v>804644.20318869001</v>
      </c>
      <c r="R51" s="6">
        <v>747780.19870101009</v>
      </c>
      <c r="S51" s="6">
        <v>764895.60124780994</v>
      </c>
      <c r="T51" s="6">
        <v>780692.39499439998</v>
      </c>
      <c r="U51" s="6">
        <v>780742.05006229004</v>
      </c>
      <c r="V51" s="6">
        <v>777888.18343748013</v>
      </c>
      <c r="W51" s="31">
        <f t="shared" si="49"/>
        <v>0.20116647285436162</v>
      </c>
      <c r="X51" s="31">
        <f t="shared" si="49"/>
        <v>0.15524748819103618</v>
      </c>
      <c r="Y51" s="31">
        <f t="shared" si="49"/>
        <v>0.14537263230375919</v>
      </c>
      <c r="Z51" s="31">
        <f t="shared" si="49"/>
        <v>0.14387985144539606</v>
      </c>
      <c r="AA51" s="31">
        <f t="shared" si="49"/>
        <v>8.2167757463538438E-2</v>
      </c>
      <c r="AB51" s="31">
        <f t="shared" si="49"/>
        <v>7.4773002895312635E-2</v>
      </c>
      <c r="AC51" s="31">
        <f t="shared" si="49"/>
        <v>9.5967598529549614E-2</v>
      </c>
      <c r="AD51" s="31">
        <f t="shared" si="49"/>
        <v>8.4768961663149067E-2</v>
      </c>
      <c r="AE51" s="31">
        <f t="shared" si="49"/>
        <v>9.5527169578883964E-2</v>
      </c>
      <c r="AF51" s="31">
        <f t="shared" si="49"/>
        <v>4.1104042858184586E-2</v>
      </c>
      <c r="AG51" s="31">
        <f t="shared" si="50"/>
        <v>4.166775195966177E-2</v>
      </c>
      <c r="AH51" s="31">
        <f t="shared" si="50"/>
        <v>5.9469479190821017E-2</v>
      </c>
      <c r="AI51" s="31">
        <f t="shared" si="50"/>
        <v>2.6068557845831952E-2</v>
      </c>
      <c r="AJ51" s="31">
        <f t="shared" si="50"/>
        <v>0.20529629663327609</v>
      </c>
      <c r="AK51" s="31">
        <f t="shared" si="50"/>
        <v>-7.0669749763107692E-2</v>
      </c>
      <c r="AL51" s="31">
        <f t="shared" si="50"/>
        <v>2.2888279973890091E-2</v>
      </c>
      <c r="AM51" s="31">
        <f t="shared" si="50"/>
        <v>2.0652221977509155E-2</v>
      </c>
      <c r="AN51" s="31">
        <f t="shared" si="50"/>
        <v>6.36038831791641E-5</v>
      </c>
      <c r="AO51" s="31">
        <f t="shared" si="50"/>
        <v>-3.6553258846275805E-3</v>
      </c>
    </row>
    <row r="52" spans="1:41" x14ac:dyDescent="0.25">
      <c r="B52" s="1" t="s">
        <v>7</v>
      </c>
      <c r="C52" s="6">
        <v>175668.8</v>
      </c>
      <c r="D52" s="6">
        <v>249201.1</v>
      </c>
      <c r="E52" s="37">
        <v>356233.2</v>
      </c>
      <c r="F52" s="6">
        <v>458626.30037369003</v>
      </c>
      <c r="G52" s="6">
        <v>694186.2</v>
      </c>
      <c r="H52" s="6">
        <v>780075.7122517</v>
      </c>
      <c r="I52" s="6">
        <v>893383.26399926003</v>
      </c>
      <c r="J52" s="6">
        <v>1007460.4232033601</v>
      </c>
      <c r="K52" s="6">
        <v>1107024.6324068101</v>
      </c>
      <c r="L52" s="6">
        <v>1203321.63118492</v>
      </c>
      <c r="M52" s="6">
        <v>1292143.73850952</v>
      </c>
      <c r="N52" s="6">
        <v>1409777.88452367</v>
      </c>
      <c r="O52" s="6">
        <v>1484448.2241883399</v>
      </c>
      <c r="P52" s="6">
        <v>1605006.50712875</v>
      </c>
      <c r="Q52" s="6">
        <v>1446215.1484914101</v>
      </c>
      <c r="R52" s="6">
        <v>1451244.4386398799</v>
      </c>
      <c r="S52" s="6">
        <v>1476018.7256869595</v>
      </c>
      <c r="T52" s="6">
        <v>1449367.0419789003</v>
      </c>
      <c r="U52" s="6">
        <v>1541606.2070292598</v>
      </c>
      <c r="V52" s="6">
        <v>1573663.7340643904</v>
      </c>
      <c r="W52" s="31">
        <f t="shared" si="49"/>
        <v>0.41858485969050863</v>
      </c>
      <c r="X52" s="31">
        <f t="shared" si="49"/>
        <v>0.42950091311795968</v>
      </c>
      <c r="Y52" s="31">
        <f t="shared" si="49"/>
        <v>0.28743278384409421</v>
      </c>
      <c r="Z52" s="31">
        <f t="shared" si="49"/>
        <v>0.51362056522788824</v>
      </c>
      <c r="AA52" s="31">
        <f t="shared" si="49"/>
        <v>0.12372690821525989</v>
      </c>
      <c r="AB52" s="31">
        <f t="shared" si="49"/>
        <v>0.14525199281041079</v>
      </c>
      <c r="AC52" s="31">
        <f t="shared" si="49"/>
        <v>0.12769117555821441</v>
      </c>
      <c r="AD52" s="31">
        <f t="shared" si="49"/>
        <v>9.8826918567055833E-2</v>
      </c>
      <c r="AE52" s="31">
        <f t="shared" si="49"/>
        <v>8.6987223191906882E-2</v>
      </c>
      <c r="AF52" s="31">
        <f t="shared" si="49"/>
        <v>7.3814103414010956E-2</v>
      </c>
      <c r="AG52" s="31">
        <f t="shared" si="50"/>
        <v>9.1037972408425816E-2</v>
      </c>
      <c r="AH52" s="31">
        <f t="shared" si="50"/>
        <v>5.296603137585687E-2</v>
      </c>
      <c r="AI52" s="31">
        <f t="shared" si="50"/>
        <v>8.1214205370031323E-2</v>
      </c>
      <c r="AJ52" s="31">
        <f t="shared" si="50"/>
        <v>-9.8935024831399043E-2</v>
      </c>
      <c r="AK52" s="31">
        <f t="shared" si="50"/>
        <v>3.4775532213973115E-3</v>
      </c>
      <c r="AL52" s="31">
        <f t="shared" si="50"/>
        <v>1.7071064244903011E-2</v>
      </c>
      <c r="AM52" s="31">
        <f t="shared" si="50"/>
        <v>-1.8056467200749826E-2</v>
      </c>
      <c r="AN52" s="31">
        <f t="shared" si="50"/>
        <v>6.3640998021053496E-2</v>
      </c>
      <c r="AO52" s="31">
        <f t="shared" si="50"/>
        <v>2.0794887104734094E-2</v>
      </c>
    </row>
    <row r="53" spans="1:41" x14ac:dyDescent="0.25">
      <c r="B53" s="1" t="s">
        <v>8</v>
      </c>
      <c r="C53" s="6">
        <v>1859.3</v>
      </c>
      <c r="D53" s="6">
        <v>2238</v>
      </c>
      <c r="E53" s="37">
        <v>2706.2</v>
      </c>
      <c r="F53" s="6">
        <v>2825.4</v>
      </c>
      <c r="G53" s="6">
        <v>3611.8</v>
      </c>
      <c r="H53" s="6">
        <v>3238.0823452499999</v>
      </c>
      <c r="I53" s="6">
        <v>2980.8541474200001</v>
      </c>
      <c r="J53" s="6">
        <v>5358.2380534499998</v>
      </c>
      <c r="K53" s="6">
        <v>4971.4425175099996</v>
      </c>
      <c r="L53" s="6">
        <v>5057.0842455700003</v>
      </c>
      <c r="M53" s="6">
        <v>4386.4349547000002</v>
      </c>
      <c r="N53" s="6">
        <v>5074.7147862600004</v>
      </c>
      <c r="O53" s="6">
        <v>4836.0255308899996</v>
      </c>
      <c r="P53" s="6">
        <v>5031.5291993399996</v>
      </c>
      <c r="Q53" s="6">
        <v>5884.0919465099996</v>
      </c>
      <c r="R53" s="6">
        <v>6878.6718953900026</v>
      </c>
      <c r="S53" s="6">
        <v>7225.6648423800025</v>
      </c>
      <c r="T53" s="6">
        <v>7179.7705353799975</v>
      </c>
      <c r="U53" s="6">
        <v>6799.9494442700006</v>
      </c>
      <c r="V53" s="6">
        <v>8123.6793400800034</v>
      </c>
      <c r="W53" s="31">
        <f t="shared" si="49"/>
        <v>0.20367880385091164</v>
      </c>
      <c r="X53" s="31">
        <f t="shared" si="49"/>
        <v>0.20920464700625541</v>
      </c>
      <c r="Y53" s="31">
        <f t="shared" si="49"/>
        <v>4.40470031778879E-2</v>
      </c>
      <c r="Z53" s="31">
        <f t="shared" si="49"/>
        <v>0.27833227153677353</v>
      </c>
      <c r="AA53" s="31">
        <f t="shared" si="49"/>
        <v>-0.1034713037128302</v>
      </c>
      <c r="AB53" s="31">
        <f t="shared" si="49"/>
        <v>-7.9438436211275554E-2</v>
      </c>
      <c r="AC53" s="31">
        <f t="shared" si="49"/>
        <v>0.79755123479881829</v>
      </c>
      <c r="AD53" s="31">
        <f t="shared" si="49"/>
        <v>-7.2187075691972025E-2</v>
      </c>
      <c r="AE53" s="31">
        <f t="shared" si="49"/>
        <v>1.7226736054648306E-2</v>
      </c>
      <c r="AF53" s="31">
        <f t="shared" si="49"/>
        <v>-0.13261580355468439</v>
      </c>
      <c r="AG53" s="31">
        <f t="shared" si="50"/>
        <v>0.15691098549689397</v>
      </c>
      <c r="AH53" s="31">
        <f t="shared" si="50"/>
        <v>-4.7035008945973011E-2</v>
      </c>
      <c r="AI53" s="31">
        <f t="shared" si="50"/>
        <v>4.0426517023374853E-2</v>
      </c>
      <c r="AJ53" s="31">
        <f t="shared" si="50"/>
        <v>0.1694440623104867</v>
      </c>
      <c r="AK53" s="31">
        <f t="shared" si="50"/>
        <v>0.16902862122504958</v>
      </c>
      <c r="AL53" s="31">
        <f t="shared" si="50"/>
        <v>5.0444759143483786E-2</v>
      </c>
      <c r="AM53" s="31">
        <f t="shared" si="50"/>
        <v>-6.3515687485012906E-3</v>
      </c>
      <c r="AN53" s="31">
        <f t="shared" si="50"/>
        <v>-5.2901564087367348E-2</v>
      </c>
      <c r="AO53" s="31">
        <f>+V53/U53-1</f>
        <v>0.19466760843721387</v>
      </c>
    </row>
    <row r="54" spans="1:41" x14ac:dyDescent="0.25">
      <c r="B54" s="18" t="s">
        <v>37</v>
      </c>
      <c r="C54" s="6">
        <v>1058.5</v>
      </c>
      <c r="D54" s="6">
        <v>2927.4</v>
      </c>
      <c r="E54" s="37">
        <v>1953.4</v>
      </c>
      <c r="F54" s="6">
        <v>5438.5</v>
      </c>
      <c r="G54" s="6">
        <v>5671.5</v>
      </c>
      <c r="H54" s="6">
        <v>3405.4695215000002</v>
      </c>
      <c r="I54" s="6">
        <v>2781.1722175</v>
      </c>
      <c r="J54" s="6">
        <v>2795.4668268800001</v>
      </c>
      <c r="K54" s="6">
        <v>9470.77978558</v>
      </c>
      <c r="L54" s="6">
        <v>5077.4980401399998</v>
      </c>
      <c r="M54" s="6">
        <v>18513.702271450002</v>
      </c>
      <c r="N54" s="6">
        <v>34688.670135710003</v>
      </c>
      <c r="O54" s="6">
        <v>17605.194500000001</v>
      </c>
      <c r="P54" s="6">
        <v>15120.739978969999</v>
      </c>
      <c r="Q54" s="6">
        <v>74506.134953390007</v>
      </c>
      <c r="R54" s="6">
        <v>17739.015415000002</v>
      </c>
      <c r="S54" s="6">
        <v>0.39620327</v>
      </c>
      <c r="T54" s="6">
        <v>20054.763709050003</v>
      </c>
      <c r="U54" s="6">
        <v>28205.30540017</v>
      </c>
      <c r="V54" s="6">
        <v>138.14323467</v>
      </c>
      <c r="W54" s="31">
        <f t="shared" si="49"/>
        <v>1.7656117146905999</v>
      </c>
      <c r="X54" s="31">
        <f t="shared" si="49"/>
        <v>-0.33271845323495253</v>
      </c>
      <c r="Y54" s="31">
        <f t="shared" si="49"/>
        <v>1.7841199959045766</v>
      </c>
      <c r="Z54" s="31">
        <f t="shared" si="49"/>
        <v>4.2842695596212232E-2</v>
      </c>
      <c r="AA54" s="31">
        <f t="shared" si="49"/>
        <v>-0.39954694146169445</v>
      </c>
      <c r="AB54" s="31">
        <f t="shared" si="49"/>
        <v>-0.18332194725531337</v>
      </c>
      <c r="AC54" s="31">
        <f t="shared" si="49"/>
        <v>5.1397785761175818E-3</v>
      </c>
      <c r="AD54" s="31">
        <f t="shared" si="49"/>
        <v>2.3879063398331462</v>
      </c>
      <c r="AE54" s="31">
        <f t="shared" si="49"/>
        <v>-0.46387751007885469</v>
      </c>
      <c r="AF54" s="31">
        <f t="shared" si="49"/>
        <v>2.6462253899638197</v>
      </c>
      <c r="AG54" s="31">
        <f t="shared" si="50"/>
        <v>0.87367548786843319</v>
      </c>
      <c r="AH54" s="31">
        <f t="shared" si="50"/>
        <v>-0.49247998175991015</v>
      </c>
      <c r="AI54" s="31">
        <f t="shared" si="50"/>
        <v>-0.14112053809061875</v>
      </c>
      <c r="AJ54" s="31">
        <f t="shared" si="50"/>
        <v>3.9274132785176858</v>
      </c>
      <c r="AK54" s="31">
        <f t="shared" si="50"/>
        <v>-0.76191201669369535</v>
      </c>
      <c r="AL54" s="31">
        <f t="shared" si="50"/>
        <v>-0.99997766486692008</v>
      </c>
      <c r="AM54" s="46">
        <f t="shared" si="50"/>
        <v>50616.360399498983</v>
      </c>
      <c r="AN54" s="31">
        <f t="shared" si="50"/>
        <v>0.40641424697723805</v>
      </c>
      <c r="AO54" s="31">
        <f>+V54/U54-1</f>
        <v>-0.99510222517678648</v>
      </c>
    </row>
    <row r="55" spans="1:41" x14ac:dyDescent="0.25">
      <c r="C55" s="6"/>
      <c r="D55" s="6"/>
      <c r="E55" s="37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</row>
    <row r="56" spans="1:41" ht="13" x14ac:dyDescent="0.3">
      <c r="A56" s="16"/>
      <c r="B56" s="17" t="s">
        <v>9</v>
      </c>
      <c r="C56" s="21">
        <f>+C58+C59</f>
        <v>59599.199999999997</v>
      </c>
      <c r="D56" s="21">
        <f t="shared" ref="D56:J56" si="51">+D58+D59</f>
        <v>117034.4</v>
      </c>
      <c r="E56" s="39">
        <f t="shared" si="51"/>
        <v>205851.99999999997</v>
      </c>
      <c r="F56" s="21">
        <f t="shared" si="51"/>
        <v>204964.39999999997</v>
      </c>
      <c r="G56" s="21">
        <f t="shared" si="51"/>
        <v>228054.00000000003</v>
      </c>
      <c r="H56" s="21">
        <f t="shared" si="51"/>
        <v>216061.44133504</v>
      </c>
      <c r="I56" s="21">
        <f t="shared" si="51"/>
        <v>231486.89872162999</v>
      </c>
      <c r="J56" s="21">
        <f t="shared" si="51"/>
        <v>255211.28225614</v>
      </c>
      <c r="K56" s="21">
        <v>317206.56884793</v>
      </c>
      <c r="L56" s="21">
        <f t="shared" ref="L56:Q56" si="52">+L58+L59</f>
        <v>367316.33389812999</v>
      </c>
      <c r="M56" s="21">
        <f t="shared" si="52"/>
        <v>294790.71560825995</v>
      </c>
      <c r="N56" s="21">
        <f t="shared" si="52"/>
        <v>370003.09910178999</v>
      </c>
      <c r="O56" s="21">
        <f t="shared" si="52"/>
        <v>327269.87505678996</v>
      </c>
      <c r="P56" s="21">
        <f t="shared" si="52"/>
        <v>505600.29544649</v>
      </c>
      <c r="Q56" s="21">
        <f t="shared" si="52"/>
        <v>305089.6431705</v>
      </c>
      <c r="R56" s="21">
        <f>+R58+R59</f>
        <v>420232.74763811007</v>
      </c>
      <c r="S56" s="21">
        <f>+S58+S59</f>
        <v>417584.14559643995</v>
      </c>
      <c r="T56" s="21">
        <f>+T58+T59</f>
        <v>431073.63983326999</v>
      </c>
      <c r="U56" s="21">
        <f>+U58+U59</f>
        <v>523598.02057141997</v>
      </c>
      <c r="V56" s="21">
        <f>+V58+V59</f>
        <v>595485.7480905999</v>
      </c>
      <c r="W56" s="29">
        <f t="shared" ref="W56:AO56" si="53">+D56/C56-1</f>
        <v>0.96369078779580941</v>
      </c>
      <c r="X56" s="29">
        <f t="shared" si="53"/>
        <v>0.75890165626516626</v>
      </c>
      <c r="Y56" s="29">
        <f t="shared" si="53"/>
        <v>-4.3118356877757114E-3</v>
      </c>
      <c r="Z56" s="29">
        <f t="shared" si="53"/>
        <v>0.11265175806140015</v>
      </c>
      <c r="AA56" s="29">
        <f t="shared" si="53"/>
        <v>-5.2586486818736011E-2</v>
      </c>
      <c r="AB56" s="29">
        <f t="shared" si="53"/>
        <v>7.139384654326264E-2</v>
      </c>
      <c r="AC56" s="29">
        <f t="shared" si="53"/>
        <v>0.10248693842081869</v>
      </c>
      <c r="AD56" s="29">
        <f t="shared" si="53"/>
        <v>0.24291749974269994</v>
      </c>
      <c r="AE56" s="29">
        <f t="shared" si="53"/>
        <v>0.15797202823445566</v>
      </c>
      <c r="AF56" s="29">
        <f t="shared" si="53"/>
        <v>-0.19744729977073117</v>
      </c>
      <c r="AG56" s="29">
        <f t="shared" si="53"/>
        <v>0.2551382370992914</v>
      </c>
      <c r="AH56" s="29">
        <f t="shared" si="53"/>
        <v>-0.11549423274761239</v>
      </c>
      <c r="AI56" s="29">
        <f t="shared" si="53"/>
        <v>0.54490325563498621</v>
      </c>
      <c r="AJ56" s="29">
        <f t="shared" si="53"/>
        <v>-0.39657938114715952</v>
      </c>
      <c r="AK56" s="29">
        <f t="shared" si="53"/>
        <v>0.37740745071199311</v>
      </c>
      <c r="AL56" s="29">
        <f t="shared" si="53"/>
        <v>-6.3027026250486173E-3</v>
      </c>
      <c r="AM56" s="29">
        <f t="shared" si="53"/>
        <v>3.2303655153293365E-2</v>
      </c>
      <c r="AN56" s="29">
        <f t="shared" si="53"/>
        <v>0.2146370647343141</v>
      </c>
      <c r="AO56" s="29">
        <f t="shared" si="53"/>
        <v>0.13729564416749795</v>
      </c>
    </row>
    <row r="57" spans="1:41" x14ac:dyDescent="0.25">
      <c r="C57" s="6"/>
      <c r="D57" s="6"/>
      <c r="E57" s="37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</row>
    <row r="58" spans="1:41" x14ac:dyDescent="0.25">
      <c r="B58" s="1" t="s">
        <v>13</v>
      </c>
      <c r="C58" s="6">
        <v>14846.8</v>
      </c>
      <c r="D58" s="6">
        <v>23174.400000000001</v>
      </c>
      <c r="E58" s="37">
        <v>33458.1</v>
      </c>
      <c r="F58" s="37">
        <v>49829.7</v>
      </c>
      <c r="G58" s="37">
        <v>41355.1</v>
      </c>
      <c r="H58" s="37">
        <v>38381.09437477</v>
      </c>
      <c r="I58" s="37">
        <v>32329.87565446</v>
      </c>
      <c r="J58" s="37">
        <v>42135.392201410003</v>
      </c>
      <c r="K58" s="37">
        <v>45754.638639030003</v>
      </c>
      <c r="L58" s="37">
        <v>51354.14497275</v>
      </c>
      <c r="M58" s="37">
        <v>47839.492164210002</v>
      </c>
      <c r="N58" s="37">
        <v>50164.274397989997</v>
      </c>
      <c r="O58" s="37">
        <v>40069.806815110001</v>
      </c>
      <c r="P58" s="37">
        <v>35764.122940809997</v>
      </c>
      <c r="Q58" s="37">
        <v>42595.026209479998</v>
      </c>
      <c r="R58" s="37">
        <v>181759.09644604003</v>
      </c>
      <c r="S58" s="37">
        <v>151150.28473293004</v>
      </c>
      <c r="T58" s="37">
        <v>192850.47676975001</v>
      </c>
      <c r="U58" s="37">
        <v>189724.32383685999</v>
      </c>
      <c r="V58" s="37">
        <v>188750.86776759999</v>
      </c>
      <c r="W58" s="31">
        <f t="shared" ref="W58:AF63" si="54">+D58/C58-1</f>
        <v>0.56090201255489425</v>
      </c>
      <c r="X58" s="31">
        <f t="shared" si="54"/>
        <v>0.44375258906379433</v>
      </c>
      <c r="Y58" s="31">
        <f t="shared" si="54"/>
        <v>0.48931648838397868</v>
      </c>
      <c r="Z58" s="31">
        <f t="shared" si="54"/>
        <v>-0.17007126272082707</v>
      </c>
      <c r="AA58" s="31">
        <f t="shared" si="54"/>
        <v>-7.191387822130757E-2</v>
      </c>
      <c r="AB58" s="31">
        <f t="shared" si="54"/>
        <v>-0.15766144292872997</v>
      </c>
      <c r="AC58" s="31">
        <f t="shared" si="54"/>
        <v>0.30329583236727675</v>
      </c>
      <c r="AD58" s="31">
        <f t="shared" si="54"/>
        <v>8.5895638999152091E-2</v>
      </c>
      <c r="AE58" s="31">
        <f t="shared" si="54"/>
        <v>0.12238117271334881</v>
      </c>
      <c r="AF58" s="31">
        <f t="shared" si="54"/>
        <v>-6.8439515649709959E-2</v>
      </c>
      <c r="AG58" s="31">
        <f t="shared" ref="AG58:AO63" si="55">+N58/M58-1</f>
        <v>4.8595462213522955E-2</v>
      </c>
      <c r="AH58" s="31">
        <f t="shared" si="55"/>
        <v>-0.20122821876766672</v>
      </c>
      <c r="AI58" s="31">
        <f t="shared" si="55"/>
        <v>-0.10745457032441608</v>
      </c>
      <c r="AJ58" s="31">
        <f t="shared" si="55"/>
        <v>0.19099876376040914</v>
      </c>
      <c r="AK58" s="31">
        <f t="shared" si="55"/>
        <v>3.2671436695955718</v>
      </c>
      <c r="AL58" s="31">
        <f t="shared" si="55"/>
        <v>-0.16840319033054296</v>
      </c>
      <c r="AM58" s="31">
        <f t="shared" si="55"/>
        <v>0.27588563336483762</v>
      </c>
      <c r="AN58" s="31">
        <f t="shared" si="55"/>
        <v>-1.6210242179605427E-2</v>
      </c>
      <c r="AO58" s="31">
        <f t="shared" si="55"/>
        <v>-5.1308975547966762E-3</v>
      </c>
    </row>
    <row r="59" spans="1:41" ht="13" x14ac:dyDescent="0.3">
      <c r="B59" s="1" t="s">
        <v>5</v>
      </c>
      <c r="C59" s="5">
        <f>+C60+C61+C62+C63</f>
        <v>44752.4</v>
      </c>
      <c r="D59" s="5">
        <f t="shared" ref="D59:J59" si="56">+D60+D61+D62+D63</f>
        <v>93860</v>
      </c>
      <c r="E59" s="38">
        <f t="shared" si="56"/>
        <v>172393.89999999997</v>
      </c>
      <c r="F59" s="5">
        <f t="shared" si="56"/>
        <v>155134.69999999998</v>
      </c>
      <c r="G59" s="5">
        <f t="shared" si="56"/>
        <v>186698.90000000002</v>
      </c>
      <c r="H59" s="5">
        <f t="shared" si="56"/>
        <v>177680.34696026999</v>
      </c>
      <c r="I59" s="5">
        <f t="shared" si="56"/>
        <v>199157.02306717</v>
      </c>
      <c r="J59" s="5">
        <f t="shared" si="56"/>
        <v>213075.89005473</v>
      </c>
      <c r="K59" s="5">
        <v>271451.93020890001</v>
      </c>
      <c r="L59" s="5">
        <f t="shared" ref="L59:Q59" si="57">+L60+L61+L62+L63</f>
        <v>315962.18892538</v>
      </c>
      <c r="M59" s="5">
        <f t="shared" si="57"/>
        <v>246951.22344404997</v>
      </c>
      <c r="N59" s="5">
        <f t="shared" si="57"/>
        <v>319838.82470380003</v>
      </c>
      <c r="O59" s="5">
        <f t="shared" si="57"/>
        <v>287200.06824167998</v>
      </c>
      <c r="P59" s="5">
        <f t="shared" si="57"/>
        <v>469836.17250568001</v>
      </c>
      <c r="Q59" s="5">
        <f t="shared" si="57"/>
        <v>262494.61696101999</v>
      </c>
      <c r="R59" s="5">
        <f>+R60+R61+R62+R63</f>
        <v>238473.65119207004</v>
      </c>
      <c r="S59" s="5">
        <f>+S60+S61+S62+S63</f>
        <v>266433.86086350994</v>
      </c>
      <c r="T59" s="5">
        <f>+T60+T61+T62+T63</f>
        <v>238223.16306352001</v>
      </c>
      <c r="U59" s="5">
        <f>+U60+U61+U62+U63</f>
        <v>333873.69673456001</v>
      </c>
      <c r="V59" s="5">
        <f>+V60+V61+V62+V63</f>
        <v>406734.88032299996</v>
      </c>
      <c r="W59" s="32">
        <f t="shared" si="54"/>
        <v>1.0973176857554008</v>
      </c>
      <c r="X59" s="32">
        <f t="shared" si="54"/>
        <v>0.83671318985723375</v>
      </c>
      <c r="Y59" s="32">
        <f t="shared" si="54"/>
        <v>-0.10011491125846095</v>
      </c>
      <c r="Z59" s="32">
        <f t="shared" si="54"/>
        <v>0.20346318392983664</v>
      </c>
      <c r="AA59" s="32">
        <f t="shared" si="54"/>
        <v>-4.8305335702192309E-2</v>
      </c>
      <c r="AB59" s="32">
        <f t="shared" si="54"/>
        <v>0.12087254710112805</v>
      </c>
      <c r="AC59" s="32">
        <f t="shared" si="54"/>
        <v>6.9888908626966062E-2</v>
      </c>
      <c r="AD59" s="32">
        <f t="shared" si="54"/>
        <v>0.27396830368361114</v>
      </c>
      <c r="AE59" s="32">
        <f t="shared" si="54"/>
        <v>0.16397105256251598</v>
      </c>
      <c r="AF59" s="32">
        <f t="shared" si="54"/>
        <v>-0.2184152658140629</v>
      </c>
      <c r="AG59" s="32">
        <f t="shared" si="55"/>
        <v>0.29514978805627856</v>
      </c>
      <c r="AH59" s="32">
        <f t="shared" si="55"/>
        <v>-0.10204751250054311</v>
      </c>
      <c r="AI59" s="32">
        <f t="shared" si="55"/>
        <v>0.63591943199091094</v>
      </c>
      <c r="AJ59" s="32">
        <f t="shared" si="55"/>
        <v>-0.44130607151613765</v>
      </c>
      <c r="AK59" s="32">
        <f t="shared" si="55"/>
        <v>-9.1510317609739822E-2</v>
      </c>
      <c r="AL59" s="32">
        <f t="shared" si="55"/>
        <v>0.11724653659502349</v>
      </c>
      <c r="AM59" s="32">
        <f t="shared" si="55"/>
        <v>-0.10588255452426087</v>
      </c>
      <c r="AN59" s="32">
        <f t="shared" si="55"/>
        <v>0.40151651267234523</v>
      </c>
      <c r="AO59" s="32">
        <f t="shared" si="55"/>
        <v>0.21822978060582843</v>
      </c>
    </row>
    <row r="60" spans="1:41" x14ac:dyDescent="0.25">
      <c r="B60" s="1" t="s">
        <v>6</v>
      </c>
      <c r="C60" s="6">
        <v>472.5</v>
      </c>
      <c r="D60" s="6">
        <v>118</v>
      </c>
      <c r="E60" s="37">
        <v>632.79999999999995</v>
      </c>
      <c r="F60" s="6">
        <v>5952.9</v>
      </c>
      <c r="G60" s="6">
        <v>12750.7</v>
      </c>
      <c r="H60" s="6">
        <v>6835.4053535100002</v>
      </c>
      <c r="I60" s="6">
        <v>9028.0293253899999</v>
      </c>
      <c r="J60" s="6">
        <v>10152.400595020001</v>
      </c>
      <c r="K60" s="6">
        <v>6993.6351915300002</v>
      </c>
      <c r="L60" s="6">
        <v>9032.3148590000001</v>
      </c>
      <c r="M60" s="6">
        <v>9693.7177360500009</v>
      </c>
      <c r="N60" s="6">
        <v>10253.53309664</v>
      </c>
      <c r="O60" s="6">
        <v>11185.70393593</v>
      </c>
      <c r="P60" s="6">
        <v>13177.17154614</v>
      </c>
      <c r="Q60" s="6">
        <v>8678.3879389899994</v>
      </c>
      <c r="R60" s="6">
        <v>11428.056738639998</v>
      </c>
      <c r="S60" s="6">
        <v>10137.205164260002</v>
      </c>
      <c r="T60" s="6">
        <v>2102.0271480299998</v>
      </c>
      <c r="U60" s="6">
        <v>3128.1723428499999</v>
      </c>
      <c r="V60" s="6">
        <v>3153.5826864599994</v>
      </c>
      <c r="W60" s="31">
        <f t="shared" si="54"/>
        <v>-0.7502645502645503</v>
      </c>
      <c r="X60" s="31">
        <f t="shared" si="54"/>
        <v>4.362711864406779</v>
      </c>
      <c r="Y60" s="31">
        <f t="shared" si="54"/>
        <v>8.4072376738305952</v>
      </c>
      <c r="Z60" s="31">
        <f t="shared" si="54"/>
        <v>1.1419308236321797</v>
      </c>
      <c r="AA60" s="31">
        <f t="shared" si="54"/>
        <v>-0.46391920808190923</v>
      </c>
      <c r="AB60" s="31">
        <f t="shared" si="54"/>
        <v>0.32077453471783945</v>
      </c>
      <c r="AC60" s="31">
        <f t="shared" si="54"/>
        <v>0.12454227042305588</v>
      </c>
      <c r="AD60" s="31">
        <f t="shared" si="54"/>
        <v>-0.31113482707128914</v>
      </c>
      <c r="AE60" s="31">
        <f t="shared" si="54"/>
        <v>0.29150500585718953</v>
      </c>
      <c r="AF60" s="31">
        <f t="shared" si="54"/>
        <v>7.3226286657950723E-2</v>
      </c>
      <c r="AG60" s="31">
        <f t="shared" si="55"/>
        <v>5.775032612184483E-2</v>
      </c>
      <c r="AH60" s="31">
        <f t="shared" si="55"/>
        <v>9.091215978963052E-2</v>
      </c>
      <c r="AI60" s="31">
        <f t="shared" si="55"/>
        <v>0.17803686040832312</v>
      </c>
      <c r="AJ60" s="31">
        <f t="shared" si="55"/>
        <v>-0.34140737952734879</v>
      </c>
      <c r="AK60" s="31">
        <f t="shared" si="55"/>
        <v>0.31684096389565264</v>
      </c>
      <c r="AL60" s="31">
        <f t="shared" si="55"/>
        <v>-0.11295459971032784</v>
      </c>
      <c r="AM60" s="31">
        <f t="shared" si="55"/>
        <v>-0.79264233938551798</v>
      </c>
      <c r="AN60" s="31">
        <f t="shared" si="55"/>
        <v>0.48816933491163228</v>
      </c>
      <c r="AO60" s="31">
        <f t="shared" si="55"/>
        <v>8.1230638292930646E-3</v>
      </c>
    </row>
    <row r="61" spans="1:41" x14ac:dyDescent="0.25">
      <c r="B61" s="1" t="s">
        <v>7</v>
      </c>
      <c r="C61" s="6">
        <f>39751.9-2000</f>
        <v>37751.9</v>
      </c>
      <c r="D61" s="6">
        <f>95500.1-2625</f>
        <v>92875.1</v>
      </c>
      <c r="E61" s="37">
        <f>171447.8-3500</f>
        <v>167947.8</v>
      </c>
      <c r="F61" s="6">
        <f>138049.7-2659.2</f>
        <v>135390.5</v>
      </c>
      <c r="G61" s="6">
        <f>165104-3375</f>
        <v>161729</v>
      </c>
      <c r="H61" s="6">
        <f>153419.08792346-4500</f>
        <v>148919.08792346</v>
      </c>
      <c r="I61" s="6">
        <v>186024.20703034001</v>
      </c>
      <c r="J61" s="6">
        <v>165527.82746144</v>
      </c>
      <c r="K61" s="6">
        <v>213650.51777042</v>
      </c>
      <c r="L61" s="6">
        <v>219831.45865752001</v>
      </c>
      <c r="M61" s="6">
        <v>184158.21861869999</v>
      </c>
      <c r="N61" s="6">
        <v>286622.45726817002</v>
      </c>
      <c r="O61" s="6">
        <v>250891.19521857999</v>
      </c>
      <c r="P61" s="6">
        <v>337226.73221483</v>
      </c>
      <c r="Q61" s="6">
        <v>236780.06329409001</v>
      </c>
      <c r="R61" s="6">
        <v>191821.38484644005</v>
      </c>
      <c r="S61" s="6">
        <v>196308.33810612993</v>
      </c>
      <c r="T61" s="6">
        <v>219947.34340661002</v>
      </c>
      <c r="U61" s="6">
        <v>276592.23168646998</v>
      </c>
      <c r="V61" s="6">
        <v>296009.02116952999</v>
      </c>
      <c r="W61" s="31">
        <f t="shared" si="54"/>
        <v>1.4601437278653524</v>
      </c>
      <c r="X61" s="31">
        <f t="shared" si="54"/>
        <v>0.80831891432687542</v>
      </c>
      <c r="Y61" s="31">
        <f t="shared" si="54"/>
        <v>-0.19385368549037252</v>
      </c>
      <c r="Z61" s="31">
        <f t="shared" si="54"/>
        <v>0.1945372828965104</v>
      </c>
      <c r="AA61" s="31">
        <f t="shared" si="54"/>
        <v>-7.9206030313301867E-2</v>
      </c>
      <c r="AB61" s="31">
        <f t="shared" si="54"/>
        <v>0.24916294898308089</v>
      </c>
      <c r="AC61" s="31">
        <f t="shared" si="54"/>
        <v>-0.11018124950564689</v>
      </c>
      <c r="AD61" s="31">
        <f t="shared" si="54"/>
        <v>0.29072266003243641</v>
      </c>
      <c r="AE61" s="31">
        <f t="shared" si="54"/>
        <v>2.89301470064387E-2</v>
      </c>
      <c r="AF61" s="31">
        <f t="shared" si="54"/>
        <v>-0.16227540979199029</v>
      </c>
      <c r="AG61" s="31">
        <f t="shared" si="55"/>
        <v>0.55639242939041722</v>
      </c>
      <c r="AH61" s="31">
        <f t="shared" si="55"/>
        <v>-0.12466316278964529</v>
      </c>
      <c r="AI61" s="31">
        <f t="shared" si="55"/>
        <v>0.34411545180385161</v>
      </c>
      <c r="AJ61" s="31">
        <f t="shared" si="55"/>
        <v>-0.297860932497933</v>
      </c>
      <c r="AK61" s="31">
        <f t="shared" si="55"/>
        <v>-0.18987526999606186</v>
      </c>
      <c r="AL61" s="31">
        <f t="shared" si="55"/>
        <v>2.3391308864138649E-2</v>
      </c>
      <c r="AM61" s="31">
        <f t="shared" si="55"/>
        <v>0.12041773430785274</v>
      </c>
      <c r="AN61" s="31">
        <f t="shared" si="55"/>
        <v>0.2575384062500008</v>
      </c>
      <c r="AO61" s="31">
        <f t="shared" si="55"/>
        <v>7.0200053575871335E-2</v>
      </c>
    </row>
    <row r="62" spans="1:41" x14ac:dyDescent="0.25">
      <c r="B62" s="1" t="s">
        <v>8</v>
      </c>
      <c r="C62" s="6">
        <v>25</v>
      </c>
      <c r="D62" s="6">
        <v>70.400000000000006</v>
      </c>
      <c r="E62" s="37">
        <v>70.8</v>
      </c>
      <c r="F62" s="6">
        <v>83.3</v>
      </c>
      <c r="G62" s="6">
        <v>0</v>
      </c>
      <c r="H62" s="6">
        <v>0</v>
      </c>
      <c r="I62" s="6"/>
      <c r="J62" s="6"/>
      <c r="K62" s="6"/>
      <c r="L62" s="6"/>
      <c r="M62" s="6"/>
      <c r="N62" s="6">
        <v>114</v>
      </c>
      <c r="O62" s="6">
        <v>413.02341775999997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46">
        <f t="shared" si="54"/>
        <v>1.8160000000000003</v>
      </c>
      <c r="X62" s="46">
        <f t="shared" si="54"/>
        <v>5.6818181818181213E-3</v>
      </c>
      <c r="Y62" s="46">
        <f t="shared" si="54"/>
        <v>0.17655367231638408</v>
      </c>
      <c r="Z62" s="46">
        <f t="shared" si="54"/>
        <v>-1</v>
      </c>
      <c r="AA62" s="46" t="e">
        <f t="shared" si="54"/>
        <v>#DIV/0!</v>
      </c>
      <c r="AB62" s="46" t="e">
        <f t="shared" si="54"/>
        <v>#DIV/0!</v>
      </c>
      <c r="AC62" s="46" t="e">
        <f t="shared" si="54"/>
        <v>#DIV/0!</v>
      </c>
      <c r="AD62" s="46" t="e">
        <f t="shared" si="54"/>
        <v>#DIV/0!</v>
      </c>
      <c r="AE62" s="46" t="e">
        <f t="shared" si="54"/>
        <v>#DIV/0!</v>
      </c>
      <c r="AF62" s="46" t="e">
        <f t="shared" si="54"/>
        <v>#DIV/0!</v>
      </c>
      <c r="AG62" s="46" t="e">
        <f t="shared" si="55"/>
        <v>#DIV/0!</v>
      </c>
      <c r="AH62" s="46">
        <f t="shared" si="55"/>
        <v>2.6230124364912277</v>
      </c>
      <c r="AI62" s="46">
        <f t="shared" si="55"/>
        <v>-1</v>
      </c>
      <c r="AJ62" s="46" t="e">
        <f t="shared" si="55"/>
        <v>#DIV/0!</v>
      </c>
      <c r="AK62" s="46" t="e">
        <f t="shared" si="55"/>
        <v>#DIV/0!</v>
      </c>
      <c r="AL62" s="46" t="e">
        <f t="shared" si="55"/>
        <v>#DIV/0!</v>
      </c>
      <c r="AM62" s="46" t="e">
        <f t="shared" si="55"/>
        <v>#DIV/0!</v>
      </c>
      <c r="AN62" s="46" t="e">
        <f t="shared" si="55"/>
        <v>#DIV/0!</v>
      </c>
      <c r="AO62" s="46" t="e">
        <f t="shared" si="55"/>
        <v>#DIV/0!</v>
      </c>
    </row>
    <row r="63" spans="1:41" x14ac:dyDescent="0.25">
      <c r="B63" s="18" t="s">
        <v>37</v>
      </c>
      <c r="C63" s="6">
        <v>6503</v>
      </c>
      <c r="D63" s="6">
        <v>796.5</v>
      </c>
      <c r="E63" s="37">
        <v>3742.5</v>
      </c>
      <c r="F63" s="6">
        <v>13708</v>
      </c>
      <c r="G63" s="6">
        <v>12219.2</v>
      </c>
      <c r="H63" s="6">
        <v>21925.8536833</v>
      </c>
      <c r="I63" s="6">
        <v>4104.7867114399996</v>
      </c>
      <c r="J63" s="6">
        <v>37395.661998269999</v>
      </c>
      <c r="K63" s="6">
        <v>50807.777246949998</v>
      </c>
      <c r="L63" s="6">
        <v>87098.415408860004</v>
      </c>
      <c r="M63" s="6">
        <v>53099.2870893</v>
      </c>
      <c r="N63" s="6">
        <v>22848.83433899</v>
      </c>
      <c r="O63" s="6">
        <v>24710.145669410002</v>
      </c>
      <c r="P63" s="6">
        <v>119432.26874471</v>
      </c>
      <c r="Q63" s="6">
        <v>17036.165727939999</v>
      </c>
      <c r="R63" s="6">
        <v>35224.20960699</v>
      </c>
      <c r="S63" s="6">
        <v>59988.317593119995</v>
      </c>
      <c r="T63" s="6">
        <v>16173.792508879998</v>
      </c>
      <c r="U63" s="6">
        <v>54153.292705239997</v>
      </c>
      <c r="V63" s="6">
        <v>107572.27646700999</v>
      </c>
      <c r="W63" s="31">
        <f t="shared" si="54"/>
        <v>-0.8775180685837306</v>
      </c>
      <c r="X63" s="31">
        <f t="shared" si="54"/>
        <v>3.6986817325800381</v>
      </c>
      <c r="Y63" s="31">
        <f t="shared" si="54"/>
        <v>2.6627922511690048</v>
      </c>
      <c r="Z63" s="31">
        <f t="shared" si="54"/>
        <v>-0.10860811205135679</v>
      </c>
      <c r="AA63" s="31">
        <f t="shared" si="54"/>
        <v>0.79437718371906496</v>
      </c>
      <c r="AB63" s="31">
        <f t="shared" si="54"/>
        <v>-0.8127878270679858</v>
      </c>
      <c r="AC63" s="31">
        <f t="shared" si="54"/>
        <v>8.1102570309070288</v>
      </c>
      <c r="AD63" s="31">
        <f t="shared" si="54"/>
        <v>0.35865430726431513</v>
      </c>
      <c r="AE63" s="31">
        <f t="shared" si="54"/>
        <v>0.71427328901873066</v>
      </c>
      <c r="AF63" s="31">
        <f t="shared" si="54"/>
        <v>-0.39035300653818183</v>
      </c>
      <c r="AG63" s="31">
        <f t="shared" si="55"/>
        <v>-0.56969602434466105</v>
      </c>
      <c r="AH63" s="31">
        <f t="shared" si="55"/>
        <v>8.1461981946439943E-2</v>
      </c>
      <c r="AI63" s="31">
        <f t="shared" si="55"/>
        <v>3.8333292058476829</v>
      </c>
      <c r="AJ63" s="31">
        <f t="shared" si="55"/>
        <v>-0.85735709530599891</v>
      </c>
      <c r="AK63" s="31">
        <f t="shared" si="55"/>
        <v>1.0676136972077512</v>
      </c>
      <c r="AL63" s="31">
        <f t="shared" si="55"/>
        <v>0.70304226162723404</v>
      </c>
      <c r="AM63" s="31">
        <f t="shared" si="55"/>
        <v>-0.73038429551264894</v>
      </c>
      <c r="AN63" s="31">
        <f t="shared" si="55"/>
        <v>2.3482124044504635</v>
      </c>
      <c r="AO63" s="31">
        <f t="shared" si="55"/>
        <v>0.98644017922479987</v>
      </c>
    </row>
    <row r="64" spans="1:41" x14ac:dyDescent="0.25">
      <c r="C64" s="7"/>
      <c r="D64" s="7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</row>
    <row r="65" spans="1:41" ht="13" x14ac:dyDescent="0.3">
      <c r="B65" s="16" t="s">
        <v>49</v>
      </c>
      <c r="C65" s="7"/>
      <c r="D65" s="7"/>
      <c r="G65" s="5">
        <f>G66-G67</f>
        <v>0</v>
      </c>
      <c r="H65" s="5">
        <f>H66-H67</f>
        <v>0</v>
      </c>
      <c r="I65" s="5">
        <f>I66-I67</f>
        <v>0</v>
      </c>
      <c r="J65" s="5">
        <f>J66-J67</f>
        <v>0</v>
      </c>
      <c r="K65" s="5">
        <v>1199.4947059799999</v>
      </c>
      <c r="L65" s="5">
        <f t="shared" ref="L65:Q65" si="58">L66-L67</f>
        <v>3877.1171084100001</v>
      </c>
      <c r="M65" s="5">
        <f t="shared" si="58"/>
        <v>3962.2340229900001</v>
      </c>
      <c r="N65" s="5">
        <f t="shared" si="58"/>
        <v>660.15740000000005</v>
      </c>
      <c r="O65" s="5">
        <f t="shared" si="58"/>
        <v>673.14005049000002</v>
      </c>
      <c r="P65" s="5">
        <f t="shared" si="58"/>
        <v>31906.560712530001</v>
      </c>
      <c r="Q65" s="5">
        <f t="shared" si="58"/>
        <v>862.17125576000001</v>
      </c>
      <c r="R65" s="5">
        <f>R66-R67</f>
        <v>4049.7441407199999</v>
      </c>
      <c r="S65" s="5">
        <f>S66-S67</f>
        <v>4279.6230017099997</v>
      </c>
      <c r="T65" s="5">
        <f>T66-T67</f>
        <v>4649.5974864199998</v>
      </c>
      <c r="U65" s="5">
        <f>U66-U67</f>
        <v>36321.545299999998</v>
      </c>
      <c r="V65" s="5">
        <f>V66-V67</f>
        <v>37238.303119999997</v>
      </c>
      <c r="W65" s="41"/>
      <c r="X65" s="41"/>
      <c r="Y65" s="41"/>
      <c r="Z65" s="41"/>
      <c r="AA65" s="41"/>
      <c r="AB65" s="41"/>
      <c r="AC65" s="41"/>
      <c r="AD65" s="41"/>
      <c r="AE65" s="32">
        <f t="shared" ref="AE65:AO66" si="59">+L65/K65-1</f>
        <v>2.232291971845223</v>
      </c>
      <c r="AF65" s="32">
        <f t="shared" si="59"/>
        <v>2.1953660980569722E-2</v>
      </c>
      <c r="AG65" s="32">
        <f t="shared" si="59"/>
        <v>-0.83338757979221301</v>
      </c>
      <c r="AH65" s="32">
        <f t="shared" si="59"/>
        <v>1.9665992519359632E-2</v>
      </c>
      <c r="AI65" s="32">
        <f t="shared" si="59"/>
        <v>46.399587484512622</v>
      </c>
      <c r="AJ65" s="32">
        <f t="shared" si="59"/>
        <v>-0.97297824533556143</v>
      </c>
      <c r="AK65" s="32">
        <f t="shared" si="59"/>
        <v>3.6971458554949956</v>
      </c>
      <c r="AL65" s="32">
        <f t="shared" si="59"/>
        <v>5.6763798650531605E-2</v>
      </c>
      <c r="AM65" s="32">
        <f t="shared" si="59"/>
        <v>8.6450251473592532E-2</v>
      </c>
      <c r="AN65" s="32">
        <f t="shared" si="59"/>
        <v>6.8117612128971849</v>
      </c>
      <c r="AO65" s="32">
        <f t="shared" si="59"/>
        <v>2.5240055521536409E-2</v>
      </c>
    </row>
    <row r="66" spans="1:41" x14ac:dyDescent="0.25">
      <c r="B66" s="57" t="s">
        <v>50</v>
      </c>
      <c r="C66" s="7"/>
      <c r="D66" s="7"/>
      <c r="G66" s="6">
        <v>0</v>
      </c>
      <c r="H66" s="27">
        <v>0</v>
      </c>
      <c r="I66" s="6">
        <v>0</v>
      </c>
      <c r="J66" s="6">
        <v>0</v>
      </c>
      <c r="K66" s="6">
        <v>1199.4947059799999</v>
      </c>
      <c r="L66" s="27">
        <v>3877.1171084100001</v>
      </c>
      <c r="M66" s="27">
        <v>3962.2340229900001</v>
      </c>
      <c r="N66" s="27">
        <v>660.15740000000005</v>
      </c>
      <c r="O66" s="27">
        <v>673.14005049000002</v>
      </c>
      <c r="P66" s="27">
        <v>31906.560712530001</v>
      </c>
      <c r="Q66" s="27">
        <v>862.17125576000001</v>
      </c>
      <c r="R66" s="27">
        <v>4049.7441407199999</v>
      </c>
      <c r="S66" s="27">
        <v>4279.6230017099997</v>
      </c>
      <c r="T66" s="27">
        <v>4649.5974864199998</v>
      </c>
      <c r="U66" s="27">
        <v>36321.545299999998</v>
      </c>
      <c r="V66" s="27">
        <v>37238.303119999997</v>
      </c>
      <c r="W66" s="41"/>
      <c r="X66" s="41"/>
      <c r="Y66" s="41"/>
      <c r="Z66" s="41"/>
      <c r="AA66" s="41"/>
      <c r="AB66" s="41"/>
      <c r="AC66" s="41"/>
      <c r="AD66" s="41"/>
      <c r="AE66" s="31">
        <f t="shared" si="59"/>
        <v>2.232291971845223</v>
      </c>
      <c r="AF66" s="31">
        <f t="shared" si="59"/>
        <v>2.1953660980569722E-2</v>
      </c>
      <c r="AG66" s="31">
        <f t="shared" si="59"/>
        <v>-0.83338757979221301</v>
      </c>
      <c r="AH66" s="31">
        <f t="shared" si="59"/>
        <v>1.9665992519359632E-2</v>
      </c>
      <c r="AI66" s="31">
        <f t="shared" si="59"/>
        <v>46.399587484512622</v>
      </c>
      <c r="AJ66" s="31">
        <f t="shared" si="59"/>
        <v>-0.97297824533556143</v>
      </c>
      <c r="AK66" s="31">
        <f t="shared" si="59"/>
        <v>3.6971458554949956</v>
      </c>
      <c r="AL66" s="31">
        <f t="shared" si="59"/>
        <v>5.6763798650531605E-2</v>
      </c>
      <c r="AM66" s="31">
        <f t="shared" si="59"/>
        <v>8.6450251473592532E-2</v>
      </c>
      <c r="AN66" s="31">
        <f t="shared" si="59"/>
        <v>6.8117612128971849</v>
      </c>
      <c r="AO66" s="31">
        <f t="shared" si="59"/>
        <v>2.5240055521536409E-2</v>
      </c>
    </row>
    <row r="67" spans="1:41" x14ac:dyDescent="0.25">
      <c r="B67" s="1" t="s">
        <v>51</v>
      </c>
      <c r="C67" s="7"/>
      <c r="D67" s="7"/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41"/>
      <c r="X67" s="41"/>
      <c r="Y67" s="41"/>
      <c r="Z67" s="41"/>
      <c r="AA67" s="41"/>
      <c r="AB67" s="41"/>
      <c r="AC67" s="41"/>
      <c r="AD67" s="4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1:41" ht="13" x14ac:dyDescent="0.3">
      <c r="B68" s="2"/>
      <c r="C68" s="7"/>
      <c r="D68" s="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</row>
    <row r="69" spans="1:41" ht="13" x14ac:dyDescent="0.3">
      <c r="A69" s="4" t="s">
        <v>18</v>
      </c>
      <c r="B69" s="3" t="s">
        <v>21</v>
      </c>
      <c r="C69" s="22">
        <f>+C9-C38</f>
        <v>306531.36674870027</v>
      </c>
      <c r="D69" s="22">
        <f t="shared" ref="D69:J69" si="60">+D9-D38</f>
        <v>412931.35069768014</v>
      </c>
      <c r="E69" s="22">
        <f t="shared" si="60"/>
        <v>470299.75100625982</v>
      </c>
      <c r="F69" s="22">
        <f t="shared" si="60"/>
        <v>-59600.93651537993</v>
      </c>
      <c r="G69" s="22">
        <f t="shared" si="60"/>
        <v>-285845.63764120033</v>
      </c>
      <c r="H69" s="22">
        <f t="shared" si="60"/>
        <v>-357626.75221705902</v>
      </c>
      <c r="I69" s="22">
        <f t="shared" si="60"/>
        <v>-395087.32248208113</v>
      </c>
      <c r="J69" s="22">
        <f t="shared" si="60"/>
        <v>-514341.7164971903</v>
      </c>
      <c r="K69" s="22">
        <v>-634543.23312320595</v>
      </c>
      <c r="L69" s="22">
        <f t="shared" ref="L69:Q69" si="61">+L9-L38</f>
        <v>-702152.33486877941</v>
      </c>
      <c r="M69" s="22">
        <f t="shared" si="61"/>
        <v>-519232.71561224898</v>
      </c>
      <c r="N69" s="22">
        <f t="shared" si="61"/>
        <v>-669115.16931262985</v>
      </c>
      <c r="O69" s="22">
        <f t="shared" si="61"/>
        <v>-730388.27993021114</v>
      </c>
      <c r="P69" s="22">
        <f t="shared" si="61"/>
        <v>-699139.15451826062</v>
      </c>
      <c r="Q69" s="22">
        <f t="shared" si="61"/>
        <v>-1028325.8231389807</v>
      </c>
      <c r="R69" s="22">
        <f>+R9-R38</f>
        <v>115069.12225533091</v>
      </c>
      <c r="S69" s="22">
        <f>+S9-S38</f>
        <v>1012870.5529862503</v>
      </c>
      <c r="T69" s="22">
        <f>+T9-T38</f>
        <v>822653.71601084992</v>
      </c>
      <c r="U69" s="22">
        <f>+U9-U38</f>
        <v>651577.68486186024</v>
      </c>
      <c r="V69" s="22">
        <f>+V9-V38</f>
        <v>573600.19389786106</v>
      </c>
      <c r="W69" s="41">
        <f t="shared" ref="W69:AO69" si="62">+D69/C69-1</f>
        <v>0.34710961255788364</v>
      </c>
      <c r="X69" s="41">
        <f t="shared" si="62"/>
        <v>0.13892963130954139</v>
      </c>
      <c r="Y69" s="41">
        <f t="shared" si="62"/>
        <v>-1.1267296790777732</v>
      </c>
      <c r="Z69" s="41">
        <f t="shared" si="62"/>
        <v>3.7959923845733243</v>
      </c>
      <c r="AA69" s="41">
        <f t="shared" si="62"/>
        <v>0.2511184538906972</v>
      </c>
      <c r="AB69" s="41">
        <f t="shared" si="62"/>
        <v>0.1047476734690298</v>
      </c>
      <c r="AC69" s="41">
        <f t="shared" si="62"/>
        <v>0.30184312993368168</v>
      </c>
      <c r="AD69" s="41">
        <f t="shared" si="62"/>
        <v>0.23369972290916108</v>
      </c>
      <c r="AE69" s="41">
        <f t="shared" si="62"/>
        <v>0.10654766801751725</v>
      </c>
      <c r="AF69" s="41">
        <f t="shared" si="62"/>
        <v>-0.26051272661610536</v>
      </c>
      <c r="AG69" s="41">
        <f t="shared" si="62"/>
        <v>0.28866142135063311</v>
      </c>
      <c r="AH69" s="41">
        <f t="shared" si="62"/>
        <v>9.157333957998004E-2</v>
      </c>
      <c r="AI69" s="41">
        <f t="shared" si="62"/>
        <v>-4.2784264576283149E-2</v>
      </c>
      <c r="AJ69" s="41">
        <f t="shared" si="62"/>
        <v>0.47084570574157714</v>
      </c>
      <c r="AK69" s="41">
        <f t="shared" si="62"/>
        <v>-1.1118994774478002</v>
      </c>
      <c r="AL69" s="41">
        <f t="shared" si="62"/>
        <v>7.8022793007732893</v>
      </c>
      <c r="AM69" s="41">
        <f t="shared" si="62"/>
        <v>-0.18779975033787222</v>
      </c>
      <c r="AN69" s="41">
        <f t="shared" si="62"/>
        <v>-0.20795630995087289</v>
      </c>
      <c r="AO69" s="41">
        <f t="shared" si="62"/>
        <v>-0.1196748949137677</v>
      </c>
    </row>
    <row r="70" spans="1:41" ht="18.5" x14ac:dyDescent="0.35">
      <c r="A70" s="5"/>
      <c r="B70" s="47" t="s">
        <v>47</v>
      </c>
      <c r="C70" s="30"/>
      <c r="D70" s="30"/>
      <c r="E70" s="50">
        <f t="shared" ref="E70:J70" si="63">+E69/E76</f>
        <v>2.9014774821399397E-2</v>
      </c>
      <c r="F70" s="50">
        <f t="shared" si="63"/>
        <v>-3.3813932306592399E-3</v>
      </c>
      <c r="G70" s="50">
        <f t="shared" si="63"/>
        <v>-1.4435182538544864E-2</v>
      </c>
      <c r="H70" s="50">
        <f t="shared" si="63"/>
        <v>-1.6538781666382871E-2</v>
      </c>
      <c r="I70" s="50">
        <f t="shared" si="63"/>
        <v>-1.6633246667397517E-2</v>
      </c>
      <c r="J70" s="50">
        <f t="shared" si="63"/>
        <v>-2.0199608591266557E-2</v>
      </c>
      <c r="K70" s="50">
        <v>-2.3305760846766801E-2</v>
      </c>
      <c r="L70" s="50">
        <f t="shared" ref="L70:Q70" si="64">+L69/L76</f>
        <v>-2.309567036805707E-2</v>
      </c>
      <c r="M70" s="50">
        <f t="shared" si="64"/>
        <v>-1.6197530804962286E-2</v>
      </c>
      <c r="N70" s="50">
        <f t="shared" si="64"/>
        <v>-1.9482938418600697E-2</v>
      </c>
      <c r="O70" s="50">
        <f t="shared" si="64"/>
        <v>-2.028027168598185E-2</v>
      </c>
      <c r="P70" s="50">
        <f t="shared" si="64"/>
        <v>-1.848002712545457E-2</v>
      </c>
      <c r="Q70" s="50">
        <f t="shared" si="64"/>
        <v>-2.8176980100950207E-2</v>
      </c>
      <c r="R70" s="50">
        <f>+R69/R76</f>
        <v>2.8534279694183615E-3</v>
      </c>
      <c r="S70" s="50">
        <f>+S69/S76</f>
        <v>2.26036568023734E-2</v>
      </c>
      <c r="T70" s="50">
        <f>+T69/T76</f>
        <v>1.7481224794863061E-2</v>
      </c>
      <c r="U70" s="50">
        <f>+U69/U76</f>
        <v>1.3266115952830684E-2</v>
      </c>
      <c r="V70" s="50">
        <f>+V69/V76</f>
        <v>1.1230264395964773E-2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</row>
    <row r="71" spans="1:41" ht="13" x14ac:dyDescent="0.3">
      <c r="A71" s="4" t="s">
        <v>19</v>
      </c>
      <c r="B71" s="3" t="s">
        <v>56</v>
      </c>
      <c r="C71" s="22">
        <f t="shared" ref="C71:J71" si="65">+C9-C36</f>
        <v>-92624.033251299756</v>
      </c>
      <c r="D71" s="22">
        <f t="shared" si="65"/>
        <v>21028.850697680144</v>
      </c>
      <c r="E71" s="22">
        <f t="shared" si="65"/>
        <v>158734.25100625982</v>
      </c>
      <c r="F71" s="22">
        <f t="shared" si="65"/>
        <v>-384552.23651537998</v>
      </c>
      <c r="G71" s="22">
        <f t="shared" si="65"/>
        <v>-645071.13764120033</v>
      </c>
      <c r="H71" s="22">
        <f t="shared" si="65"/>
        <v>-743748.04863997921</v>
      </c>
      <c r="I71" s="22">
        <f t="shared" si="65"/>
        <v>-795903.65654304111</v>
      </c>
      <c r="J71" s="22">
        <f t="shared" si="65"/>
        <v>-1021884.7349608904</v>
      </c>
      <c r="K71" s="22">
        <v>-1200541.26057996</v>
      </c>
      <c r="L71" s="22">
        <f t="shared" ref="L71:Q71" si="66">+L9-L36</f>
        <v>-1347862.7870790195</v>
      </c>
      <c r="M71" s="22">
        <f t="shared" si="66"/>
        <v>-1223193.9154726691</v>
      </c>
      <c r="N71" s="22">
        <f t="shared" si="66"/>
        <v>-1527971.41726474</v>
      </c>
      <c r="O71" s="22">
        <f t="shared" si="66"/>
        <v>-1759259.0037103514</v>
      </c>
      <c r="P71" s="22">
        <f t="shared" si="66"/>
        <v>-1994012.7619868601</v>
      </c>
      <c r="Q71" s="22">
        <f t="shared" si="66"/>
        <v>-2498665.818082131</v>
      </c>
      <c r="R71" s="22">
        <f>+R9-R36</f>
        <v>-1535759.531744279</v>
      </c>
      <c r="S71" s="22">
        <f>+S9-S36</f>
        <v>-805665.08627468999</v>
      </c>
      <c r="T71" s="22">
        <f>+T9-T36</f>
        <v>-1153966.4059009003</v>
      </c>
      <c r="U71" s="22">
        <f>+U9-U36</f>
        <v>-1413385.7484898902</v>
      </c>
      <c r="V71" s="22">
        <f>+V9-V36</f>
        <v>-1342134.095993259</v>
      </c>
      <c r="W71" s="41">
        <f t="shared" ref="W71:AO71" si="67">+D71/C71-1</f>
        <v>-1.2270344959026609</v>
      </c>
      <c r="X71" s="41">
        <f t="shared" si="67"/>
        <v>6.5484035379913097</v>
      </c>
      <c r="Y71" s="41">
        <f t="shared" si="67"/>
        <v>-3.4226166317451856</v>
      </c>
      <c r="Z71" s="41">
        <f t="shared" si="67"/>
        <v>0.67746037179893248</v>
      </c>
      <c r="AA71" s="41">
        <f t="shared" si="67"/>
        <v>0.15297058764651261</v>
      </c>
      <c r="AB71" s="41">
        <f t="shared" si="67"/>
        <v>7.0125371082900845E-2</v>
      </c>
      <c r="AC71" s="41">
        <f t="shared" si="67"/>
        <v>0.28393019250518869</v>
      </c>
      <c r="AD71" s="41">
        <f t="shared" si="67"/>
        <v>0.1748304084666723</v>
      </c>
      <c r="AE71" s="41">
        <f t="shared" si="67"/>
        <v>0.12271258917656125</v>
      </c>
      <c r="AF71" s="41">
        <f t="shared" si="67"/>
        <v>-9.2493741055439949E-2</v>
      </c>
      <c r="AG71" s="41">
        <f t="shared" si="67"/>
        <v>0.24916531870933833</v>
      </c>
      <c r="AH71" s="41">
        <f t="shared" si="67"/>
        <v>0.15136905300208103</v>
      </c>
      <c r="AI71" s="41">
        <f t="shared" si="67"/>
        <v>0.13343899777201829</v>
      </c>
      <c r="AJ71" s="41">
        <f t="shared" si="67"/>
        <v>0.2530841656160856</v>
      </c>
      <c r="AK71" s="41">
        <f t="shared" si="67"/>
        <v>-0.3853681750354826</v>
      </c>
      <c r="AL71" s="41">
        <f t="shared" si="67"/>
        <v>-0.47539633020565741</v>
      </c>
      <c r="AM71" s="41">
        <f t="shared" si="67"/>
        <v>0.43231527040189688</v>
      </c>
      <c r="AN71" s="41">
        <f t="shared" si="67"/>
        <v>0.22480666790855275</v>
      </c>
      <c r="AO71" s="41">
        <f t="shared" si="67"/>
        <v>-5.0412035477758965E-2</v>
      </c>
    </row>
    <row r="72" spans="1:41" ht="18.5" x14ac:dyDescent="0.35">
      <c r="B72" s="47" t="s">
        <v>47</v>
      </c>
      <c r="C72" s="47"/>
      <c r="D72" s="47"/>
      <c r="E72" s="50">
        <f t="shared" ref="E72:J72" si="68">+E71/E76</f>
        <v>9.7929853025348866E-3</v>
      </c>
      <c r="F72" s="50">
        <f t="shared" si="68"/>
        <v>-2.1817145927772976E-2</v>
      </c>
      <c r="G72" s="50">
        <f t="shared" si="68"/>
        <v>-3.2576042436882661E-2</v>
      </c>
      <c r="H72" s="50">
        <f t="shared" si="68"/>
        <v>-3.4395320022896692E-2</v>
      </c>
      <c r="I72" s="50">
        <f t="shared" si="68"/>
        <v>-3.3507685742977633E-2</v>
      </c>
      <c r="J72" s="50">
        <f t="shared" si="68"/>
        <v>-4.0132213681160565E-2</v>
      </c>
      <c r="K72" s="50">
        <v>-4.4093965620022303E-2</v>
      </c>
      <c r="L72" s="50">
        <f t="shared" ref="L72:Q72" si="69">+L71/L76</f>
        <v>-4.4334816087402695E-2</v>
      </c>
      <c r="M72" s="50">
        <f t="shared" si="69"/>
        <v>-3.8157690242898085E-2</v>
      </c>
      <c r="N72" s="50">
        <f t="shared" si="69"/>
        <v>-4.4490656307392511E-2</v>
      </c>
      <c r="O72" s="50">
        <f t="shared" si="69"/>
        <v>-4.8848333881623553E-2</v>
      </c>
      <c r="P72" s="50">
        <f t="shared" si="69"/>
        <v>-5.2706831954520868E-2</v>
      </c>
      <c r="Q72" s="50">
        <f t="shared" si="69"/>
        <v>-6.8465514966951566E-2</v>
      </c>
      <c r="R72" s="50">
        <f>+R71/R76</f>
        <v>-3.8083015810759388E-2</v>
      </c>
      <c r="S72" s="50">
        <f>+S71/S76</f>
        <v>-1.7979570098188909E-2</v>
      </c>
      <c r="T72" s="50">
        <f>+T71/T76</f>
        <v>-2.4521552330783819E-2</v>
      </c>
      <c r="U72" s="50">
        <f>+U71/U76</f>
        <v>-2.8776521451191892E-2</v>
      </c>
      <c r="V72" s="50">
        <f>+V71/V76</f>
        <v>-2.6277049612586728E-2</v>
      </c>
      <c r="W72" s="30"/>
      <c r="X72" s="30"/>
      <c r="Y72" s="30"/>
      <c r="Z72" s="30"/>
      <c r="AA72" s="30"/>
      <c r="AB72" s="30"/>
      <c r="AC72" s="30"/>
      <c r="AD72" s="30"/>
      <c r="AE72" s="30"/>
    </row>
    <row r="73" spans="1:41" ht="13" x14ac:dyDescent="0.3">
      <c r="B73" s="33" t="s">
        <v>38</v>
      </c>
      <c r="C73" s="33"/>
      <c r="D73" s="33"/>
      <c r="F73" s="49">
        <f>F74+F75</f>
        <v>393156.660576344</v>
      </c>
      <c r="G73" s="49">
        <f>G74+G75</f>
        <v>638238.14631615405</v>
      </c>
      <c r="H73" s="49">
        <f>H74+H75</f>
        <v>705317.648009956</v>
      </c>
      <c r="I73" s="49">
        <f>I74+I75</f>
        <v>795903.66876782989</v>
      </c>
      <c r="J73" s="49">
        <f>J74+J75</f>
        <v>1021884.674499491</v>
      </c>
      <c r="K73" s="49">
        <v>1200541.3392777899</v>
      </c>
      <c r="L73" s="49">
        <f t="shared" ref="L73:Q73" si="70">L74+L75</f>
        <v>1347862.784876266</v>
      </c>
      <c r="M73" s="49">
        <f t="shared" si="70"/>
        <v>1223193.9495836578</v>
      </c>
      <c r="N73" s="49">
        <f t="shared" si="70"/>
        <v>1527971.4279275967</v>
      </c>
      <c r="O73" s="49">
        <f t="shared" si="70"/>
        <v>1759258.9888377099</v>
      </c>
      <c r="P73" s="49">
        <f t="shared" si="70"/>
        <v>1994012.8497231819</v>
      </c>
      <c r="Q73" s="49">
        <f t="shared" si="70"/>
        <v>2498665.8125980864</v>
      </c>
      <c r="R73" s="49">
        <f>R74+R75</f>
        <v>1535759.4968292862</v>
      </c>
      <c r="S73" s="49">
        <f>S74+S75</f>
        <v>805665.05552043347</v>
      </c>
      <c r="T73" s="49">
        <f>T74+T75</f>
        <v>1153966.3599669999</v>
      </c>
      <c r="U73" s="49">
        <f>U74+U75</f>
        <v>1413385.7495928472</v>
      </c>
      <c r="V73" s="49">
        <f>V74+V75</f>
        <v>1342134.075526596</v>
      </c>
      <c r="W73" s="6"/>
      <c r="X73" s="6"/>
      <c r="Y73" s="6"/>
      <c r="Z73" s="6"/>
      <c r="AA73" s="6"/>
      <c r="AB73" s="6"/>
      <c r="AC73" s="1"/>
      <c r="AD73" s="1"/>
    </row>
    <row r="74" spans="1:41" ht="13" x14ac:dyDescent="0.25">
      <c r="B74" s="34" t="s">
        <v>40</v>
      </c>
      <c r="C74" s="34"/>
      <c r="D74" s="34"/>
      <c r="F74" s="54">
        <v>581666.29324284999</v>
      </c>
      <c r="G74" s="54">
        <v>399617.26638343203</v>
      </c>
      <c r="H74" s="54">
        <v>849358.130734668</v>
      </c>
      <c r="I74" s="54">
        <f>957298.5641642-9376.9</f>
        <v>947921.66416419996</v>
      </c>
      <c r="J74" s="54">
        <f>666006.199856642-17565-673.3</f>
        <v>647767.89985664201</v>
      </c>
      <c r="K74" s="54">
        <v>753535.63901770196</v>
      </c>
      <c r="L74" s="54">
        <v>784470.59443754901</v>
      </c>
      <c r="M74" s="54">
        <v>1189787.0338178901</v>
      </c>
      <c r="N74" s="54">
        <v>1509007.0920246399</v>
      </c>
      <c r="O74" s="54">
        <v>1766476.74429547</v>
      </c>
      <c r="P74" s="54">
        <v>1751098.53097342</v>
      </c>
      <c r="Q74" s="54">
        <v>1799225.67581761</v>
      </c>
      <c r="R74" s="54">
        <v>1128913.67755089</v>
      </c>
      <c r="S74" s="54">
        <v>-69918.508889004996</v>
      </c>
      <c r="T74" s="54">
        <v>722618.34206159692</v>
      </c>
      <c r="U74" s="54">
        <v>859956.10682366497</v>
      </c>
      <c r="V74" s="204">
        <v>1376865.3910978001</v>
      </c>
      <c r="W74" s="19"/>
      <c r="X74" s="19"/>
      <c r="Y74" s="19"/>
      <c r="Z74" s="19"/>
      <c r="AA74" s="19"/>
      <c r="AB74" s="19"/>
    </row>
    <row r="75" spans="1:41" ht="13.5" thickBot="1" x14ac:dyDescent="0.3">
      <c r="B75" s="60" t="s">
        <v>41</v>
      </c>
      <c r="C75" s="60"/>
      <c r="D75" s="60"/>
      <c r="E75" s="9"/>
      <c r="F75" s="61">
        <v>-188509.63266650599</v>
      </c>
      <c r="G75" s="61">
        <v>238620.87993272199</v>
      </c>
      <c r="H75" s="61">
        <v>-144040.482724712</v>
      </c>
      <c r="I75" s="61">
        <v>-152017.99539637001</v>
      </c>
      <c r="J75" s="61">
        <v>374116.77464284899</v>
      </c>
      <c r="K75" s="61">
        <v>447005.70026008697</v>
      </c>
      <c r="L75" s="61">
        <v>563392.19043871702</v>
      </c>
      <c r="M75" s="61">
        <v>33406.915765767699</v>
      </c>
      <c r="N75" s="61">
        <v>18964.3359029567</v>
      </c>
      <c r="O75" s="61">
        <v>-7217.7554577600804</v>
      </c>
      <c r="P75" s="61">
        <v>242914.31874976199</v>
      </c>
      <c r="Q75" s="61">
        <v>699440.13678047655</v>
      </c>
      <c r="R75" s="61">
        <v>406845.8192783962</v>
      </c>
      <c r="S75" s="61">
        <v>875583.56440943852</v>
      </c>
      <c r="T75" s="61">
        <v>431348.01790540281</v>
      </c>
      <c r="U75" s="61">
        <v>553429.64276918222</v>
      </c>
      <c r="V75" s="61">
        <v>-34731.315571204061</v>
      </c>
      <c r="AF75" s="17"/>
    </row>
    <row r="76" spans="1:41" ht="15" thickTop="1" x14ac:dyDescent="0.25">
      <c r="B76" s="1" t="s">
        <v>85</v>
      </c>
      <c r="C76" s="48">
        <v>11613320</v>
      </c>
      <c r="D76" s="48">
        <v>13889052.9</v>
      </c>
      <c r="E76" s="48">
        <v>16208974.699999999</v>
      </c>
      <c r="F76" s="48">
        <v>17626147.699999999</v>
      </c>
      <c r="G76" s="48">
        <v>19802010.600000001</v>
      </c>
      <c r="H76" s="48">
        <v>21623524.600000001</v>
      </c>
      <c r="I76" s="48">
        <v>23752868.600000001</v>
      </c>
      <c r="J76" s="48">
        <v>25462954.600000001</v>
      </c>
      <c r="K76" s="48">
        <v>28001327.600000001</v>
      </c>
      <c r="L76" s="48">
        <v>30401903.199999999</v>
      </c>
      <c r="M76" s="48">
        <v>32056288.199999999</v>
      </c>
      <c r="N76" s="48">
        <v>34343647.5</v>
      </c>
      <c r="O76" s="48">
        <v>36014718.700000003</v>
      </c>
      <c r="P76" s="48">
        <v>37832149.799999997</v>
      </c>
      <c r="Q76" s="48">
        <v>36495246.100000001</v>
      </c>
      <c r="R76" s="48">
        <v>40326625.899999999</v>
      </c>
      <c r="S76" s="48">
        <v>44810030.600000001</v>
      </c>
      <c r="T76" s="48">
        <v>47059272.200000003</v>
      </c>
      <c r="U76" s="62">
        <v>49115934.700000003</v>
      </c>
      <c r="V76" s="62">
        <v>51076285.799999997</v>
      </c>
    </row>
    <row r="77" spans="1:41" ht="13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115"/>
      <c r="R77" s="115"/>
      <c r="S77" s="115"/>
      <c r="T77" s="115"/>
      <c r="U77" s="115"/>
      <c r="V77" s="11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1" x14ac:dyDescent="0.25">
      <c r="W78" s="35"/>
      <c r="X78" s="35"/>
      <c r="Y78" s="35"/>
      <c r="Z78" s="35"/>
      <c r="AA78" s="35"/>
      <c r="AB78" s="35"/>
      <c r="AC78" s="35"/>
      <c r="AD78" s="35"/>
      <c r="AE78" s="35"/>
    </row>
    <row r="79" spans="1:41" ht="12.75" customHeight="1" x14ac:dyDescent="0.25">
      <c r="B79" s="203" t="s">
        <v>141</v>
      </c>
      <c r="S79" s="116"/>
      <c r="T79" s="116"/>
      <c r="U79" s="116"/>
      <c r="V79" s="116"/>
    </row>
    <row r="80" spans="1:41" ht="14.5" x14ac:dyDescent="0.25">
      <c r="B80" s="1" t="s">
        <v>86</v>
      </c>
    </row>
    <row r="81" spans="1:32" ht="14.5" x14ac:dyDescent="0.25">
      <c r="B81" s="1" t="s">
        <v>87</v>
      </c>
    </row>
    <row r="82" spans="1:32" x14ac:dyDescent="0.25">
      <c r="V82" s="6"/>
    </row>
    <row r="83" spans="1:32" ht="11.25" customHeight="1" x14ac:dyDescent="0.25"/>
    <row r="84" spans="1:32" x14ac:dyDescent="0.25">
      <c r="A84" s="205" t="s">
        <v>57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</row>
    <row r="86" spans="1:32" x14ac:dyDescent="0.25">
      <c r="P86" s="6"/>
      <c r="Q86" s="6"/>
      <c r="R86" s="6"/>
      <c r="S86" s="6"/>
      <c r="T86" s="6"/>
      <c r="U86" s="6"/>
      <c r="V86" s="6"/>
    </row>
    <row r="87" spans="1:32" x14ac:dyDescent="0.25">
      <c r="S87" s="6"/>
      <c r="T87" s="6"/>
      <c r="U87" s="6"/>
      <c r="V87" s="6"/>
    </row>
    <row r="88" spans="1:32" x14ac:dyDescent="0.25">
      <c r="U88" s="6"/>
      <c r="V88" s="6"/>
    </row>
  </sheetData>
  <mergeCells count="6">
    <mergeCell ref="A84:AF84"/>
    <mergeCell ref="A2:AN2"/>
    <mergeCell ref="A3:AN3"/>
    <mergeCell ref="A4:AN4"/>
    <mergeCell ref="W6:AO6"/>
    <mergeCell ref="C6:V6"/>
  </mergeCells>
  <phoneticPr fontId="0" type="noConversion"/>
  <printOptions horizontalCentered="1"/>
  <pageMargins left="0.23622047244094491" right="0.27559055118110237" top="0.31496062992125984" bottom="0.19685039370078741" header="0" footer="0"/>
  <pageSetup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003C-A734-436F-B0E1-D512DE63431D}">
  <dimension ref="A1:N64"/>
  <sheetViews>
    <sheetView topLeftCell="A25" workbookViewId="0">
      <selection activeCell="L57" activeCellId="6" sqref="L48 L51 L52 L53 L55 L56 L57"/>
    </sheetView>
  </sheetViews>
  <sheetFormatPr baseColWidth="10" defaultRowHeight="12.5" x14ac:dyDescent="0.25"/>
  <cols>
    <col min="1" max="1" width="13.1796875" customWidth="1"/>
    <col min="2" max="2" width="35.1796875" bestFit="1" customWidth="1"/>
    <col min="3" max="3" width="8.1796875" bestFit="1" customWidth="1"/>
    <col min="4" max="5" width="7.81640625" bestFit="1" customWidth="1"/>
    <col min="6" max="6" width="8.1796875" customWidth="1"/>
    <col min="7" max="7" width="8" bestFit="1" customWidth="1"/>
    <col min="8" max="8" width="5.453125" customWidth="1"/>
    <col min="9" max="9" width="35.1796875" bestFit="1" customWidth="1"/>
    <col min="10" max="12" width="9.1796875" bestFit="1" customWidth="1"/>
    <col min="13" max="13" width="6.81640625" bestFit="1" customWidth="1"/>
    <col min="14" max="14" width="7.1796875" bestFit="1" customWidth="1"/>
  </cols>
  <sheetData>
    <row r="1" spans="1:14" x14ac:dyDescent="0.25">
      <c r="A1" s="154"/>
      <c r="B1" s="155"/>
      <c r="C1" s="156" t="s">
        <v>88</v>
      </c>
      <c r="D1" s="156" t="s">
        <v>88</v>
      </c>
      <c r="E1" s="156" t="s">
        <v>88</v>
      </c>
      <c r="F1" s="157" t="s">
        <v>88</v>
      </c>
      <c r="G1" s="157"/>
      <c r="H1" s="154"/>
      <c r="I1" s="154"/>
      <c r="J1" s="158" t="s">
        <v>88</v>
      </c>
      <c r="K1" s="158" t="s">
        <v>88</v>
      </c>
      <c r="L1" s="158" t="s">
        <v>88</v>
      </c>
      <c r="M1" s="157"/>
      <c r="N1" s="157"/>
    </row>
    <row r="2" spans="1:14" x14ac:dyDescent="0.25">
      <c r="A2" s="154"/>
      <c r="B2" s="212" t="s">
        <v>89</v>
      </c>
      <c r="C2" s="212"/>
      <c r="D2" s="212"/>
      <c r="E2" s="212"/>
      <c r="F2" s="212"/>
      <c r="G2" s="212"/>
      <c r="H2" s="154"/>
      <c r="I2" s="212" t="s">
        <v>89</v>
      </c>
      <c r="J2" s="212"/>
      <c r="K2" s="212"/>
      <c r="L2" s="212"/>
      <c r="M2" s="212"/>
      <c r="N2" s="212"/>
    </row>
    <row r="3" spans="1:14" x14ac:dyDescent="0.25">
      <c r="A3" s="154"/>
      <c r="B3" s="212" t="s">
        <v>90</v>
      </c>
      <c r="C3" s="212"/>
      <c r="D3" s="212"/>
      <c r="E3" s="212"/>
      <c r="F3" s="212"/>
      <c r="G3" s="212"/>
      <c r="H3" s="154"/>
      <c r="I3" s="212" t="s">
        <v>90</v>
      </c>
      <c r="J3" s="212"/>
      <c r="K3" s="212"/>
      <c r="L3" s="212"/>
      <c r="M3" s="212"/>
      <c r="N3" s="212"/>
    </row>
    <row r="4" spans="1:14" x14ac:dyDescent="0.25">
      <c r="A4" s="154"/>
      <c r="B4" s="212" t="s">
        <v>91</v>
      </c>
      <c r="C4" s="212"/>
      <c r="D4" s="212"/>
      <c r="E4" s="212"/>
      <c r="F4" s="212"/>
      <c r="G4" s="212"/>
      <c r="H4" s="154"/>
      <c r="I4" s="212" t="s">
        <v>92</v>
      </c>
      <c r="J4" s="212"/>
      <c r="K4" s="212"/>
      <c r="L4" s="212"/>
      <c r="M4" s="212"/>
      <c r="N4" s="212"/>
    </row>
    <row r="5" spans="1:14" x14ac:dyDescent="0.25">
      <c r="A5" s="154"/>
      <c r="B5" s="212" t="s">
        <v>93</v>
      </c>
      <c r="C5" s="212"/>
      <c r="D5" s="212"/>
      <c r="E5" s="212"/>
      <c r="F5" s="212"/>
      <c r="G5" s="212"/>
      <c r="H5" s="154"/>
      <c r="I5" s="212" t="s">
        <v>93</v>
      </c>
      <c r="J5" s="212"/>
      <c r="K5" s="212"/>
      <c r="L5" s="212"/>
      <c r="M5" s="212"/>
      <c r="N5" s="212"/>
    </row>
    <row r="6" spans="1:14" x14ac:dyDescent="0.25">
      <c r="A6" s="154"/>
      <c r="B6" s="159"/>
      <c r="C6" s="159"/>
      <c r="D6" s="159"/>
      <c r="E6" s="159"/>
      <c r="F6" s="159"/>
      <c r="G6" s="159"/>
      <c r="H6" s="154"/>
      <c r="I6" s="159"/>
      <c r="J6" s="159"/>
      <c r="K6" s="159"/>
      <c r="L6" s="159"/>
      <c r="M6" s="159"/>
      <c r="N6" s="159"/>
    </row>
    <row r="7" spans="1:14" ht="12.75" customHeight="1" x14ac:dyDescent="0.25">
      <c r="A7" s="154"/>
      <c r="B7" s="160" t="s">
        <v>0</v>
      </c>
      <c r="C7" s="161">
        <v>2023</v>
      </c>
      <c r="D7" s="161">
        <v>2024</v>
      </c>
      <c r="E7" s="162">
        <v>2025</v>
      </c>
      <c r="F7" s="213" t="s">
        <v>94</v>
      </c>
      <c r="G7" s="214"/>
      <c r="H7" s="154"/>
      <c r="I7" s="160" t="s">
        <v>0</v>
      </c>
      <c r="J7" s="161">
        <v>2023</v>
      </c>
      <c r="K7" s="161">
        <v>2024</v>
      </c>
      <c r="L7" s="162">
        <v>2025</v>
      </c>
      <c r="M7" s="213" t="s">
        <v>94</v>
      </c>
      <c r="N7" s="214"/>
    </row>
    <row r="8" spans="1:14" x14ac:dyDescent="0.25">
      <c r="A8" s="154"/>
      <c r="B8" s="163"/>
      <c r="C8" s="163"/>
      <c r="D8" s="164"/>
      <c r="E8" s="165"/>
      <c r="F8" s="166" t="s">
        <v>76</v>
      </c>
      <c r="G8" s="167" t="s">
        <v>80</v>
      </c>
      <c r="H8" s="154"/>
      <c r="I8" s="163"/>
      <c r="J8" s="161"/>
      <c r="K8" s="161"/>
      <c r="L8" s="162"/>
      <c r="M8" s="167" t="s">
        <v>76</v>
      </c>
      <c r="N8" s="167" t="s">
        <v>80</v>
      </c>
    </row>
    <row r="9" spans="1:14" x14ac:dyDescent="0.25">
      <c r="A9" s="158"/>
      <c r="B9" s="168" t="s">
        <v>95</v>
      </c>
      <c r="C9" s="118">
        <v>526049.00427461998</v>
      </c>
      <c r="D9" s="119">
        <v>593498.73073401977</v>
      </c>
      <c r="E9" s="169">
        <f>E10+E64</f>
        <v>494274.69437648996</v>
      </c>
      <c r="F9" s="63">
        <f>D9/C9-1</f>
        <v>0.12821947368269937</v>
      </c>
      <c r="G9" s="64">
        <f>E9/D9-1</f>
        <v>-0.16718491753944065</v>
      </c>
      <c r="H9" s="154"/>
      <c r="I9" s="168" t="s">
        <v>95</v>
      </c>
      <c r="J9" s="120">
        <v>5846983.8803970693</v>
      </c>
      <c r="K9" s="121">
        <v>6051156.2971826801</v>
      </c>
      <c r="L9" s="169">
        <f>L10+L64</f>
        <v>6074460.2206947207</v>
      </c>
      <c r="M9" s="64">
        <f>K9/J9-1</f>
        <v>3.4919271364870941E-2</v>
      </c>
      <c r="N9" s="64">
        <f>L9/K9-1</f>
        <v>3.8511521381277003E-3</v>
      </c>
    </row>
    <row r="10" spans="1:14" x14ac:dyDescent="0.25">
      <c r="A10" s="158"/>
      <c r="B10" s="170" t="s">
        <v>96</v>
      </c>
      <c r="C10" s="122">
        <v>526049.00427461998</v>
      </c>
      <c r="D10" s="123">
        <v>593498.73073401977</v>
      </c>
      <c r="E10" s="171">
        <f>E12++E61+E62+E63</f>
        <v>494206.84788188996</v>
      </c>
      <c r="F10" s="65">
        <f t="shared" ref="F10:G63" si="0">D10/C10-1</f>
        <v>0.12821947368269937</v>
      </c>
      <c r="G10" s="66">
        <f>E10/D10-1</f>
        <v>-0.1672992336973137</v>
      </c>
      <c r="H10" s="154"/>
      <c r="I10" s="170" t="s">
        <v>96</v>
      </c>
      <c r="J10" s="122">
        <v>5839633.1357290689</v>
      </c>
      <c r="K10" s="123">
        <v>6043554.5785786798</v>
      </c>
      <c r="L10" s="171">
        <f>L12++L61+L62+L63</f>
        <v>6058031.2703869808</v>
      </c>
      <c r="M10" s="66">
        <f t="shared" ref="M10" si="1">K10/J10-1</f>
        <v>3.4920248945424781E-2</v>
      </c>
      <c r="N10" s="66">
        <f>L10/K10-1</f>
        <v>2.3953935751013233E-3</v>
      </c>
    </row>
    <row r="11" spans="1:14" x14ac:dyDescent="0.25">
      <c r="A11" s="158"/>
      <c r="B11" s="172"/>
      <c r="C11" s="118"/>
      <c r="D11" s="124"/>
      <c r="E11" s="169"/>
      <c r="F11" s="67"/>
      <c r="G11" s="68"/>
      <c r="H11" s="154"/>
      <c r="I11" s="172"/>
      <c r="J11" s="125"/>
      <c r="K11" s="126"/>
      <c r="L11" s="169"/>
      <c r="M11" s="69"/>
      <c r="N11" s="69"/>
    </row>
    <row r="12" spans="1:14" x14ac:dyDescent="0.25">
      <c r="A12" s="158"/>
      <c r="B12" s="146" t="s">
        <v>97</v>
      </c>
      <c r="C12" s="100">
        <v>468962.04828047997</v>
      </c>
      <c r="D12" s="111">
        <v>533906.76091975986</v>
      </c>
      <c r="E12" s="173">
        <f>E14+E21+E26+E30+E35+E39+E43+E58+E59</f>
        <v>429384.50829964998</v>
      </c>
      <c r="F12" s="70">
        <f t="shared" si="0"/>
        <v>0.13848607339849672</v>
      </c>
      <c r="G12" s="71">
        <f>E12/D12-1</f>
        <v>-0.19576873767256597</v>
      </c>
      <c r="H12" s="154"/>
      <c r="I12" s="174" t="s">
        <v>97</v>
      </c>
      <c r="J12" s="72">
        <v>5229639.734657919</v>
      </c>
      <c r="K12" s="111">
        <v>5355821.2131532095</v>
      </c>
      <c r="L12" s="173">
        <f>L14+L21+L26+L30+L35+L39+L43+L58+L59</f>
        <v>5383417.7931255503</v>
      </c>
      <c r="M12" s="70">
        <f t="shared" ref="M12" si="2">K12/J12-1</f>
        <v>2.4128139775873914E-2</v>
      </c>
      <c r="N12" s="71">
        <f>L12/K12-1</f>
        <v>5.1526327847850606E-3</v>
      </c>
    </row>
    <row r="13" spans="1:14" x14ac:dyDescent="0.25">
      <c r="A13" s="158"/>
      <c r="B13" s="147"/>
      <c r="C13" s="101"/>
      <c r="D13" s="101"/>
      <c r="E13" s="175"/>
      <c r="F13" s="74"/>
      <c r="G13" s="75"/>
      <c r="H13" s="154"/>
      <c r="I13" s="176"/>
      <c r="J13" s="73"/>
      <c r="K13" s="101"/>
      <c r="L13" s="175"/>
      <c r="M13" s="74"/>
      <c r="N13" s="75"/>
    </row>
    <row r="14" spans="1:14" x14ac:dyDescent="0.25">
      <c r="A14" s="158"/>
      <c r="B14" s="148" t="s">
        <v>98</v>
      </c>
      <c r="C14" s="127">
        <v>171731.61961038999</v>
      </c>
      <c r="D14" s="127">
        <v>184378.39506032999</v>
      </c>
      <c r="E14" s="177">
        <f>SUM(E15:E19)</f>
        <v>140814.07480996</v>
      </c>
      <c r="F14" s="76">
        <f t="shared" si="0"/>
        <v>7.3642672669319342E-2</v>
      </c>
      <c r="G14" s="77">
        <f>E14/D14-1</f>
        <v>-0.23627670821256153</v>
      </c>
      <c r="H14" s="178"/>
      <c r="I14" s="179" t="s">
        <v>98</v>
      </c>
      <c r="J14" s="128">
        <v>2047987.5112647798</v>
      </c>
      <c r="K14" s="127">
        <v>1971948.0772297902</v>
      </c>
      <c r="L14" s="177">
        <f>SUM(L15:L19)</f>
        <v>2007891.3727072002</v>
      </c>
      <c r="M14" s="76">
        <f t="shared" ref="M14:N18" si="3">K14/J14-1</f>
        <v>-3.7128856312229064E-2</v>
      </c>
      <c r="N14" s="77">
        <f t="shared" si="3"/>
        <v>1.8227303189394028E-2</v>
      </c>
    </row>
    <row r="15" spans="1:14" x14ac:dyDescent="0.25">
      <c r="A15" s="158"/>
      <c r="B15" s="147" t="s">
        <v>99</v>
      </c>
      <c r="C15" s="79">
        <v>57025.306306689999</v>
      </c>
      <c r="D15" s="79">
        <v>60355.605789460002</v>
      </c>
      <c r="E15" s="180">
        <v>54357.629791320003</v>
      </c>
      <c r="F15" s="80">
        <f>D15/C15-1</f>
        <v>5.8400378682039733E-2</v>
      </c>
      <c r="G15" s="81">
        <f>E15/D15-1</f>
        <v>-9.9377281027762221E-2</v>
      </c>
      <c r="H15" s="154"/>
      <c r="I15" s="176" t="s">
        <v>99</v>
      </c>
      <c r="J15" s="78">
        <v>578525.58489786997</v>
      </c>
      <c r="K15" s="79">
        <v>612652.51974617003</v>
      </c>
      <c r="L15" s="180">
        <v>639505.25253913994</v>
      </c>
      <c r="M15" s="82">
        <f t="shared" si="3"/>
        <v>5.8989499754491748E-2</v>
      </c>
      <c r="N15" s="83">
        <f t="shared" si="3"/>
        <v>4.3830282137899967E-2</v>
      </c>
    </row>
    <row r="16" spans="1:14" x14ac:dyDescent="0.25">
      <c r="A16" s="158"/>
      <c r="B16" s="147" t="s">
        <v>100</v>
      </c>
      <c r="C16" s="79">
        <v>94474.959666330004</v>
      </c>
      <c r="D16" s="79">
        <v>105694.80276950999</v>
      </c>
      <c r="E16" s="180">
        <v>70079.646959649996</v>
      </c>
      <c r="F16" s="80">
        <f t="shared" ref="F16:G18" si="4">D16/C16-1</f>
        <v>0.11875996711516601</v>
      </c>
      <c r="G16" s="81">
        <f t="shared" si="4"/>
        <v>-0.3369622240322111</v>
      </c>
      <c r="H16" s="154"/>
      <c r="I16" s="176" t="s">
        <v>100</v>
      </c>
      <c r="J16" s="78">
        <v>1285279.8020753299</v>
      </c>
      <c r="K16" s="79">
        <v>1162531.32431117</v>
      </c>
      <c r="L16" s="180">
        <v>1175891.1442600302</v>
      </c>
      <c r="M16" s="82">
        <f t="shared" si="3"/>
        <v>-9.5503311859377993E-2</v>
      </c>
      <c r="N16" s="83">
        <f t="shared" si="3"/>
        <v>1.1492008576006629E-2</v>
      </c>
    </row>
    <row r="17" spans="1:14" x14ac:dyDescent="0.25">
      <c r="A17" s="158"/>
      <c r="B17" s="147" t="s">
        <v>101</v>
      </c>
      <c r="C17" s="79">
        <v>0</v>
      </c>
      <c r="D17" s="79">
        <v>0</v>
      </c>
      <c r="E17" s="180">
        <v>0</v>
      </c>
      <c r="F17" s="129" t="e">
        <f t="shared" si="4"/>
        <v>#DIV/0!</v>
      </c>
      <c r="G17" s="130" t="e">
        <f t="shared" si="4"/>
        <v>#DIV/0!</v>
      </c>
      <c r="H17" s="154"/>
      <c r="I17" s="176" t="s">
        <v>101</v>
      </c>
      <c r="J17" s="78">
        <v>0</v>
      </c>
      <c r="K17" s="79">
        <v>0</v>
      </c>
      <c r="L17" s="180">
        <v>0</v>
      </c>
      <c r="M17" s="131" t="e">
        <f t="shared" si="3"/>
        <v>#DIV/0!</v>
      </c>
      <c r="N17" s="132" t="e">
        <f t="shared" si="3"/>
        <v>#DIV/0!</v>
      </c>
    </row>
    <row r="18" spans="1:14" x14ac:dyDescent="0.25">
      <c r="A18" s="158"/>
      <c r="B18" s="147" t="s">
        <v>102</v>
      </c>
      <c r="C18" s="79">
        <v>20231.353637369997</v>
      </c>
      <c r="D18" s="79">
        <v>18327.986501359999</v>
      </c>
      <c r="E18" s="180">
        <v>16376.79805899</v>
      </c>
      <c r="F18" s="80">
        <f t="shared" si="4"/>
        <v>-9.4080068497948921E-2</v>
      </c>
      <c r="G18" s="81">
        <f t="shared" si="4"/>
        <v>-0.1064595089168805</v>
      </c>
      <c r="H18" s="154"/>
      <c r="I18" s="176" t="s">
        <v>102</v>
      </c>
      <c r="J18" s="78">
        <v>184182.12429158</v>
      </c>
      <c r="K18" s="79">
        <v>196764.23317244998</v>
      </c>
      <c r="L18" s="180">
        <v>192494.97590803</v>
      </c>
      <c r="M18" s="82">
        <f t="shared" si="3"/>
        <v>6.8313409508466538E-2</v>
      </c>
      <c r="N18" s="83">
        <f t="shared" si="3"/>
        <v>-2.169732372386135E-2</v>
      </c>
    </row>
    <row r="19" spans="1:14" x14ac:dyDescent="0.25">
      <c r="A19" s="158"/>
      <c r="B19" s="147" t="s">
        <v>103</v>
      </c>
      <c r="C19" s="79">
        <v>0</v>
      </c>
      <c r="D19" s="79">
        <v>0</v>
      </c>
      <c r="E19" s="180">
        <v>0</v>
      </c>
      <c r="F19" s="80">
        <v>0</v>
      </c>
      <c r="G19" s="81">
        <v>0</v>
      </c>
      <c r="H19" s="154"/>
      <c r="I19" s="176" t="s">
        <v>103</v>
      </c>
      <c r="J19" s="78">
        <v>0</v>
      </c>
      <c r="K19" s="79">
        <v>0</v>
      </c>
      <c r="L19" s="180">
        <v>0</v>
      </c>
      <c r="M19" s="82">
        <v>0</v>
      </c>
      <c r="N19" s="83">
        <v>0</v>
      </c>
    </row>
    <row r="20" spans="1:14" x14ac:dyDescent="0.25">
      <c r="A20" s="158"/>
      <c r="B20" s="149"/>
      <c r="C20" s="133"/>
      <c r="D20" s="133"/>
      <c r="E20" s="181"/>
      <c r="F20" s="80"/>
      <c r="G20" s="81"/>
      <c r="H20" s="158"/>
      <c r="I20" s="176"/>
      <c r="J20" s="134"/>
      <c r="K20" s="133"/>
      <c r="L20" s="181"/>
      <c r="M20" s="80"/>
      <c r="N20" s="81"/>
    </row>
    <row r="21" spans="1:14" x14ac:dyDescent="0.25">
      <c r="A21" s="158"/>
      <c r="B21" s="182" t="s">
        <v>104</v>
      </c>
      <c r="C21" s="135">
        <v>1252.6653256699999</v>
      </c>
      <c r="D21" s="136">
        <v>1429.95442157</v>
      </c>
      <c r="E21" s="183">
        <f t="shared" ref="E21" si="5">SUM(E22:E24)</f>
        <v>1963.5199132000002</v>
      </c>
      <c r="F21" s="84">
        <f t="shared" si="0"/>
        <v>0.14152949895469913</v>
      </c>
      <c r="G21" s="85">
        <f>E21/D21-1</f>
        <v>0.37313461434958106</v>
      </c>
      <c r="H21" s="154"/>
      <c r="I21" s="182" t="s">
        <v>104</v>
      </c>
      <c r="J21" s="135">
        <v>125627.12332649999</v>
      </c>
      <c r="K21" s="136">
        <v>86460.756641640008</v>
      </c>
      <c r="L21" s="183">
        <f>SUM(L22:L24)</f>
        <v>109726.59121694</v>
      </c>
      <c r="M21" s="86">
        <f t="shared" ref="M21:N28" si="6">K21/J21-1</f>
        <v>-0.31176680359915687</v>
      </c>
      <c r="N21" s="84">
        <f>L21/K21-1</f>
        <v>0.26909126728709465</v>
      </c>
    </row>
    <row r="22" spans="1:14" x14ac:dyDescent="0.25">
      <c r="A22" s="158"/>
      <c r="B22" s="176" t="s">
        <v>105</v>
      </c>
      <c r="C22" s="78">
        <v>701.22581402999992</v>
      </c>
      <c r="D22" s="79">
        <v>587.04901099999995</v>
      </c>
      <c r="E22" s="180">
        <v>1620.827927</v>
      </c>
      <c r="F22" s="81">
        <f t="shared" si="0"/>
        <v>-0.16282458623965501</v>
      </c>
      <c r="G22" s="87">
        <f>E22/D22-1</f>
        <v>1.7609754835273885</v>
      </c>
      <c r="H22" s="154"/>
      <c r="I22" s="176" t="s">
        <v>105</v>
      </c>
      <c r="J22" s="78">
        <v>95249.996197039989</v>
      </c>
      <c r="K22" s="79">
        <v>56580.627232070001</v>
      </c>
      <c r="L22" s="180">
        <v>77874.585179469999</v>
      </c>
      <c r="M22" s="52">
        <f t="shared" si="6"/>
        <v>-0.4059776431379184</v>
      </c>
      <c r="N22" s="81">
        <f t="shared" si="6"/>
        <v>0.37634715253440221</v>
      </c>
    </row>
    <row r="23" spans="1:14" x14ac:dyDescent="0.25">
      <c r="A23" s="158"/>
      <c r="B23" s="176" t="s">
        <v>106</v>
      </c>
      <c r="C23" s="78">
        <v>90.925529999999995</v>
      </c>
      <c r="D23" s="79">
        <v>64.827308000000002</v>
      </c>
      <c r="E23" s="180">
        <v>35.769776</v>
      </c>
      <c r="F23" s="81">
        <f t="shared" si="0"/>
        <v>-0.28702853862935962</v>
      </c>
      <c r="G23" s="87">
        <f>E23/D23-1</f>
        <v>-0.44822981080750723</v>
      </c>
      <c r="H23" s="154"/>
      <c r="I23" s="176" t="s">
        <v>106</v>
      </c>
      <c r="J23" s="78">
        <v>5303.6807390000004</v>
      </c>
      <c r="K23" s="79">
        <v>5344.098919</v>
      </c>
      <c r="L23" s="180">
        <v>5560.9041939999997</v>
      </c>
      <c r="M23" s="52">
        <f>K23/J23-1</f>
        <v>7.620779226545249E-3</v>
      </c>
      <c r="N23" s="81">
        <f t="shared" si="6"/>
        <v>4.0569098417917893E-2</v>
      </c>
    </row>
    <row r="24" spans="1:14" x14ac:dyDescent="0.25">
      <c r="A24" s="158"/>
      <c r="B24" s="137" t="s">
        <v>107</v>
      </c>
      <c r="C24" s="78">
        <v>460.51398164</v>
      </c>
      <c r="D24" s="79">
        <v>778.07810257000006</v>
      </c>
      <c r="E24" s="180">
        <v>306.92221019999999</v>
      </c>
      <c r="F24" s="81">
        <f t="shared" si="0"/>
        <v>0.68958627444725695</v>
      </c>
      <c r="G24" s="87">
        <f t="shared" si="0"/>
        <v>-0.60553804407779532</v>
      </c>
      <c r="H24" s="154"/>
      <c r="I24" s="137" t="s">
        <v>107</v>
      </c>
      <c r="J24" s="78">
        <v>25073.446390459998</v>
      </c>
      <c r="K24" s="79">
        <v>24536.030490569996</v>
      </c>
      <c r="L24" s="180">
        <v>26291.101843470002</v>
      </c>
      <c r="M24" s="52">
        <f>K24/J24-1</f>
        <v>-2.1433666976649834E-2</v>
      </c>
      <c r="N24" s="81">
        <f t="shared" si="6"/>
        <v>7.1530370553400502E-2</v>
      </c>
    </row>
    <row r="25" spans="1:14" x14ac:dyDescent="0.25">
      <c r="A25" s="158"/>
      <c r="B25" s="138"/>
      <c r="C25" s="88"/>
      <c r="D25" s="91"/>
      <c r="E25" s="184"/>
      <c r="F25" s="89"/>
      <c r="G25" s="90"/>
      <c r="H25" s="154"/>
      <c r="I25" s="138"/>
      <c r="J25" s="88"/>
      <c r="K25" s="91"/>
      <c r="L25" s="184"/>
      <c r="M25" s="92"/>
      <c r="N25" s="89"/>
    </row>
    <row r="26" spans="1:14" x14ac:dyDescent="0.25">
      <c r="A26" s="158"/>
      <c r="B26" s="179" t="s">
        <v>108</v>
      </c>
      <c r="C26" s="128">
        <v>15617.59171574</v>
      </c>
      <c r="D26" s="127">
        <v>18160.486864179999</v>
      </c>
      <c r="E26" s="177">
        <f t="shared" ref="E26" si="7">SUM(E27:E28)</f>
        <v>18975.970840049999</v>
      </c>
      <c r="F26" s="102">
        <f t="shared" si="0"/>
        <v>0.16282248855802606</v>
      </c>
      <c r="G26" s="93">
        <f>E26/D26-1</f>
        <v>4.49043014082664E-2</v>
      </c>
      <c r="H26" s="154"/>
      <c r="I26" s="179" t="s">
        <v>108</v>
      </c>
      <c r="J26" s="128">
        <v>138145.86565348</v>
      </c>
      <c r="K26" s="127">
        <v>151689.49863734996</v>
      </c>
      <c r="L26" s="177">
        <f>SUM(L27:L28)</f>
        <v>162587.29495151</v>
      </c>
      <c r="M26" s="93">
        <f t="shared" ref="M26:M28" si="8">K26/J26-1</f>
        <v>9.8038641401273052E-2</v>
      </c>
      <c r="N26" s="93">
        <f>L26/K26-1</f>
        <v>7.1842786824774407E-2</v>
      </c>
    </row>
    <row r="27" spans="1:14" x14ac:dyDescent="0.25">
      <c r="A27" s="158"/>
      <c r="B27" s="176" t="s">
        <v>109</v>
      </c>
      <c r="C27" s="78">
        <v>13072.238104600001</v>
      </c>
      <c r="D27" s="79">
        <v>15075.27068351</v>
      </c>
      <c r="E27" s="180">
        <v>15684.81143867</v>
      </c>
      <c r="F27" s="80">
        <f t="shared" si="0"/>
        <v>0.15322797541494837</v>
      </c>
      <c r="G27" s="81">
        <f>E27/D27-1</f>
        <v>4.0433154930129556E-2</v>
      </c>
      <c r="H27" s="154"/>
      <c r="I27" s="176" t="s">
        <v>109</v>
      </c>
      <c r="J27" s="78">
        <v>112841.20889996001</v>
      </c>
      <c r="K27" s="79">
        <v>124423.08238469997</v>
      </c>
      <c r="L27" s="180">
        <v>134006.76380399</v>
      </c>
      <c r="M27" s="81">
        <f t="shared" si="8"/>
        <v>0.10263868667879961</v>
      </c>
      <c r="N27" s="81">
        <f t="shared" si="6"/>
        <v>7.7024947747706074E-2</v>
      </c>
    </row>
    <row r="28" spans="1:14" x14ac:dyDescent="0.25">
      <c r="A28" s="158"/>
      <c r="B28" s="176" t="s">
        <v>110</v>
      </c>
      <c r="C28" s="78">
        <v>2545.3536111399999</v>
      </c>
      <c r="D28" s="79">
        <v>3085.2161806700001</v>
      </c>
      <c r="E28" s="180">
        <v>3291.15940138</v>
      </c>
      <c r="F28" s="80">
        <f t="shared" si="0"/>
        <v>0.21209727684485036</v>
      </c>
      <c r="G28" s="81">
        <f>E28/D28-1</f>
        <v>6.6751633807805355E-2</v>
      </c>
      <c r="H28" s="154"/>
      <c r="I28" s="176" t="s">
        <v>110</v>
      </c>
      <c r="J28" s="78">
        <v>25304.656753520001</v>
      </c>
      <c r="K28" s="79">
        <v>27266.416252649997</v>
      </c>
      <c r="L28" s="180">
        <v>28580.531147519996</v>
      </c>
      <c r="M28" s="81">
        <f t="shared" si="8"/>
        <v>7.7525631674774775E-2</v>
      </c>
      <c r="N28" s="81">
        <f t="shared" si="6"/>
        <v>4.8195365415588221E-2</v>
      </c>
    </row>
    <row r="29" spans="1:14" x14ac:dyDescent="0.25">
      <c r="A29" s="158"/>
      <c r="B29" s="176"/>
      <c r="C29" s="134"/>
      <c r="D29" s="133"/>
      <c r="E29" s="181"/>
      <c r="F29" s="80"/>
      <c r="G29" s="81"/>
      <c r="H29" s="154"/>
      <c r="I29" s="176"/>
      <c r="J29" s="134"/>
      <c r="K29" s="133"/>
      <c r="L29" s="181"/>
      <c r="M29" s="81"/>
      <c r="N29" s="81"/>
    </row>
    <row r="30" spans="1:14" x14ac:dyDescent="0.25">
      <c r="A30" s="158"/>
      <c r="B30" s="182" t="s">
        <v>111</v>
      </c>
      <c r="C30" s="135">
        <v>439.43881362999997</v>
      </c>
      <c r="D30" s="136">
        <v>446.86900537999998</v>
      </c>
      <c r="E30" s="183">
        <f>SUM(E31:E33)</f>
        <v>435.87711550999995</v>
      </c>
      <c r="F30" s="84">
        <f t="shared" si="0"/>
        <v>1.690836475873092E-2</v>
      </c>
      <c r="G30" s="85">
        <f>E30/D30-1</f>
        <v>-2.4597566037619756E-2</v>
      </c>
      <c r="H30" s="154"/>
      <c r="I30" s="182" t="s">
        <v>111</v>
      </c>
      <c r="J30" s="135">
        <v>4569.6500630700002</v>
      </c>
      <c r="K30" s="136">
        <v>4298.6376817400005</v>
      </c>
      <c r="L30" s="183">
        <f>SUM(L31:L33)</f>
        <v>3893.7804932200006</v>
      </c>
      <c r="M30" s="86">
        <f t="shared" ref="M30:N37" si="9">K30/J30-1</f>
        <v>-5.9307031739740501E-2</v>
      </c>
      <c r="N30" s="84">
        <f t="shared" si="9"/>
        <v>-9.4182673324568755E-2</v>
      </c>
    </row>
    <row r="31" spans="1:14" x14ac:dyDescent="0.25">
      <c r="A31" s="158"/>
      <c r="B31" s="176" t="s">
        <v>112</v>
      </c>
      <c r="C31" s="78">
        <v>16.3623525</v>
      </c>
      <c r="D31" s="79">
        <v>16.388726999999999</v>
      </c>
      <c r="E31" s="180">
        <v>15.6224025</v>
      </c>
      <c r="F31" s="81">
        <f t="shared" si="0"/>
        <v>1.61190146710255E-3</v>
      </c>
      <c r="G31" s="87">
        <f>E31/D31-1</f>
        <v>-4.6759244937083833E-2</v>
      </c>
      <c r="H31" s="154"/>
      <c r="I31" s="176" t="s">
        <v>112</v>
      </c>
      <c r="J31" s="78">
        <v>165.98967299999998</v>
      </c>
      <c r="K31" s="79">
        <v>162.08101349999998</v>
      </c>
      <c r="L31" s="180">
        <v>141.93705299999999</v>
      </c>
      <c r="M31" s="52">
        <f t="shared" si="9"/>
        <v>-2.3547606482723804E-2</v>
      </c>
      <c r="N31" s="81">
        <f t="shared" si="9"/>
        <v>-0.12428328318665161</v>
      </c>
    </row>
    <row r="32" spans="1:14" x14ac:dyDescent="0.25">
      <c r="A32" s="158"/>
      <c r="B32" s="176" t="s">
        <v>113</v>
      </c>
      <c r="C32" s="78">
        <v>281.85060537999999</v>
      </c>
      <c r="D32" s="79">
        <v>278.68966988</v>
      </c>
      <c r="E32" s="180">
        <v>257.68275225999997</v>
      </c>
      <c r="F32" s="81">
        <f t="shared" si="0"/>
        <v>-1.1214932448835202E-2</v>
      </c>
      <c r="G32" s="87">
        <f>E32/D32-1</f>
        <v>-7.5377453455828913E-2</v>
      </c>
      <c r="H32" s="154"/>
      <c r="I32" s="176" t="s">
        <v>113</v>
      </c>
      <c r="J32" s="78">
        <v>2942.7610248200003</v>
      </c>
      <c r="K32" s="79">
        <v>2738.6612437400004</v>
      </c>
      <c r="L32" s="180">
        <v>2340.9976437200003</v>
      </c>
      <c r="M32" s="52">
        <f t="shared" si="9"/>
        <v>-6.9356559828871678E-2</v>
      </c>
      <c r="N32" s="81">
        <f t="shared" si="9"/>
        <v>-0.14520364682889308</v>
      </c>
    </row>
    <row r="33" spans="1:14" x14ac:dyDescent="0.25">
      <c r="A33" s="158"/>
      <c r="B33" s="185" t="s">
        <v>114</v>
      </c>
      <c r="C33" s="78">
        <v>141.22585574999999</v>
      </c>
      <c r="D33" s="79">
        <v>151.79060849999999</v>
      </c>
      <c r="E33" s="180">
        <v>162.57196074999999</v>
      </c>
      <c r="F33" s="81">
        <f t="shared" si="0"/>
        <v>7.4807496785162853E-2</v>
      </c>
      <c r="G33" s="87">
        <f t="shared" si="0"/>
        <v>7.1027795174824604E-2</v>
      </c>
      <c r="H33" s="154"/>
      <c r="I33" s="185" t="s">
        <v>114</v>
      </c>
      <c r="J33" s="78">
        <v>1460.8993652500001</v>
      </c>
      <c r="K33" s="79">
        <v>1397.8954245</v>
      </c>
      <c r="L33" s="180">
        <v>1410.8457965000002</v>
      </c>
      <c r="M33" s="52">
        <f t="shared" si="9"/>
        <v>-4.3126817800498096E-2</v>
      </c>
      <c r="N33" s="81">
        <f t="shared" si="9"/>
        <v>9.2641922800715815E-3</v>
      </c>
    </row>
    <row r="34" spans="1:14" x14ac:dyDescent="0.25">
      <c r="A34" s="158"/>
      <c r="B34" s="186"/>
      <c r="C34" s="88"/>
      <c r="D34" s="91"/>
      <c r="E34" s="184"/>
      <c r="F34" s="89"/>
      <c r="G34" s="90"/>
      <c r="H34" s="154"/>
      <c r="I34" s="186"/>
      <c r="J34" s="88"/>
      <c r="K34" s="91"/>
      <c r="L34" s="184"/>
      <c r="M34" s="92"/>
      <c r="N34" s="89"/>
    </row>
    <row r="35" spans="1:14" x14ac:dyDescent="0.25">
      <c r="A35" s="158"/>
      <c r="B35" s="179" t="s">
        <v>115</v>
      </c>
      <c r="C35" s="128">
        <v>186553.05896714999</v>
      </c>
      <c r="D35" s="127">
        <v>206239.26316035999</v>
      </c>
      <c r="E35" s="187">
        <f t="shared" ref="E35" si="10">SUM(E36:E37)</f>
        <v>169511.68562492001</v>
      </c>
      <c r="F35" s="103">
        <f t="shared" si="0"/>
        <v>0.10552603265903304</v>
      </c>
      <c r="G35" s="93">
        <f>E35/D35-1</f>
        <v>-0.17808237370826274</v>
      </c>
      <c r="H35" s="154"/>
      <c r="I35" s="179" t="s">
        <v>115</v>
      </c>
      <c r="J35" s="128">
        <v>1894951.94360348</v>
      </c>
      <c r="K35" s="127">
        <v>2002066.5273446797</v>
      </c>
      <c r="L35" s="187">
        <f>SUM(L36:L37)</f>
        <v>2022803.11489134</v>
      </c>
      <c r="M35" s="93">
        <f t="shared" ref="M35:M37" si="11">K35/J35-1</f>
        <v>5.6526279783912781E-2</v>
      </c>
      <c r="N35" s="93">
        <f t="shared" si="9"/>
        <v>1.0357591650145048E-2</v>
      </c>
    </row>
    <row r="36" spans="1:14" x14ac:dyDescent="0.25">
      <c r="A36" s="158"/>
      <c r="B36" s="176" t="s">
        <v>116</v>
      </c>
      <c r="C36" s="78">
        <v>112107.4408629</v>
      </c>
      <c r="D36" s="79">
        <v>121095.9844495</v>
      </c>
      <c r="E36" s="188">
        <v>85840.368413759992</v>
      </c>
      <c r="F36" s="52">
        <f t="shared" si="0"/>
        <v>8.0177939282303212E-2</v>
      </c>
      <c r="G36" s="81">
        <f>E36/D36-1</f>
        <v>-0.29113777963828735</v>
      </c>
      <c r="H36" s="154"/>
      <c r="I36" s="176" t="s">
        <v>116</v>
      </c>
      <c r="J36" s="78">
        <v>1187035.0792557499</v>
      </c>
      <c r="K36" s="79">
        <v>1250404.8992880199</v>
      </c>
      <c r="L36" s="188">
        <v>1244393.7315308801</v>
      </c>
      <c r="M36" s="81">
        <f t="shared" si="11"/>
        <v>5.3384959837919688E-2</v>
      </c>
      <c r="N36" s="81">
        <f t="shared" si="9"/>
        <v>-4.8073770028912444E-3</v>
      </c>
    </row>
    <row r="37" spans="1:14" x14ac:dyDescent="0.25">
      <c r="A37" s="158"/>
      <c r="B37" s="176" t="s">
        <v>117</v>
      </c>
      <c r="C37" s="78">
        <v>74445.618104249996</v>
      </c>
      <c r="D37" s="79">
        <v>85143.278710860002</v>
      </c>
      <c r="E37" s="188">
        <v>83671.31721116</v>
      </c>
      <c r="F37" s="52">
        <f t="shared" si="0"/>
        <v>0.1436976531194829</v>
      </c>
      <c r="G37" s="81">
        <f>E37/D37-1</f>
        <v>-1.7288052820924049E-2</v>
      </c>
      <c r="H37" s="154"/>
      <c r="I37" s="176" t="s">
        <v>117</v>
      </c>
      <c r="J37" s="78">
        <v>707916.86434773006</v>
      </c>
      <c r="K37" s="79">
        <v>751661.62805665983</v>
      </c>
      <c r="L37" s="188">
        <v>778409.38336045982</v>
      </c>
      <c r="M37" s="81">
        <f t="shared" si="11"/>
        <v>6.1793645429305988E-2</v>
      </c>
      <c r="N37" s="81">
        <f t="shared" si="9"/>
        <v>3.5584835390564562E-2</v>
      </c>
    </row>
    <row r="38" spans="1:14" x14ac:dyDescent="0.25">
      <c r="A38" s="158"/>
      <c r="B38" s="189" t="s">
        <v>88</v>
      </c>
      <c r="C38" s="139"/>
      <c r="D38" s="140"/>
      <c r="E38" s="188"/>
      <c r="F38" s="52"/>
      <c r="G38" s="89"/>
      <c r="H38" s="154"/>
      <c r="I38" s="189" t="s">
        <v>88</v>
      </c>
      <c r="J38" s="139"/>
      <c r="K38" s="140"/>
      <c r="L38" s="190"/>
      <c r="M38" s="81"/>
      <c r="N38" s="81"/>
    </row>
    <row r="39" spans="1:14" x14ac:dyDescent="0.25">
      <c r="A39" s="158"/>
      <c r="B39" s="182" t="s">
        <v>118</v>
      </c>
      <c r="C39" s="135">
        <v>23557.034460999999</v>
      </c>
      <c r="D39" s="136">
        <v>30583.102499550001</v>
      </c>
      <c r="E39" s="191">
        <f t="shared" ref="E39" si="12">SUM(E40:E41)</f>
        <v>29415.004936639998</v>
      </c>
      <c r="F39" s="104">
        <f t="shared" si="0"/>
        <v>0.29825774760324997</v>
      </c>
      <c r="G39" s="84">
        <f>E39/D39-1</f>
        <v>-3.8194214041142205E-2</v>
      </c>
      <c r="H39" s="154"/>
      <c r="I39" s="182" t="s">
        <v>118</v>
      </c>
      <c r="J39" s="135">
        <v>224220.72420169998</v>
      </c>
      <c r="K39" s="136">
        <v>269586.11336660001</v>
      </c>
      <c r="L39" s="191">
        <f>SUM(L40:L41)</f>
        <v>243849.38439242</v>
      </c>
      <c r="M39" s="84">
        <f t="shared" ref="M39:M41" si="13">K39/J39-1</f>
        <v>0.20232469289543076</v>
      </c>
      <c r="N39" s="84">
        <f>L39/K39-1</f>
        <v>-9.5467561933286982E-2</v>
      </c>
    </row>
    <row r="40" spans="1:14" x14ac:dyDescent="0.25">
      <c r="A40" s="158"/>
      <c r="B40" s="176" t="s">
        <v>119</v>
      </c>
      <c r="C40" s="78">
        <v>851.417284</v>
      </c>
      <c r="D40" s="79">
        <v>829.41079999999999</v>
      </c>
      <c r="E40" s="188">
        <v>689.13173900000004</v>
      </c>
      <c r="F40" s="80">
        <f t="shared" si="0"/>
        <v>-2.5846884264097203E-2</v>
      </c>
      <c r="G40" s="81">
        <f>E40/D40-1</f>
        <v>-0.16913097948567823</v>
      </c>
      <c r="H40" s="154"/>
      <c r="I40" s="176" t="s">
        <v>119</v>
      </c>
      <c r="J40" s="78">
        <v>9501.8979659999986</v>
      </c>
      <c r="K40" s="79">
        <v>10334.848045000001</v>
      </c>
      <c r="L40" s="188">
        <v>8841.1634290000002</v>
      </c>
      <c r="M40" s="81">
        <f t="shared" si="13"/>
        <v>8.7661442164554071E-2</v>
      </c>
      <c r="N40" s="81">
        <f>L40/K40-1</f>
        <v>-0.14452893835460356</v>
      </c>
    </row>
    <row r="41" spans="1:14" x14ac:dyDescent="0.25">
      <c r="A41" s="158"/>
      <c r="B41" s="176" t="s">
        <v>120</v>
      </c>
      <c r="C41" s="78">
        <v>22705.617177</v>
      </c>
      <c r="D41" s="79">
        <v>29753.69169955</v>
      </c>
      <c r="E41" s="188">
        <v>28725.873197639998</v>
      </c>
      <c r="F41" s="80">
        <f t="shared" si="0"/>
        <v>0.31041105236678845</v>
      </c>
      <c r="G41" s="81">
        <f>E41/D41-1</f>
        <v>-3.4544234452948519E-2</v>
      </c>
      <c r="H41" s="154"/>
      <c r="I41" s="176" t="s">
        <v>120</v>
      </c>
      <c r="J41" s="78">
        <v>214718.82623569999</v>
      </c>
      <c r="K41" s="79">
        <v>259251.26532159999</v>
      </c>
      <c r="L41" s="188">
        <v>235008.22096342</v>
      </c>
      <c r="M41" s="81">
        <f t="shared" si="13"/>
        <v>0.20739885675891356</v>
      </c>
      <c r="N41" s="81">
        <f>L41/K41-1</f>
        <v>-9.3511768700941911E-2</v>
      </c>
    </row>
    <row r="42" spans="1:14" x14ac:dyDescent="0.25">
      <c r="A42" s="158"/>
      <c r="B42" s="192" t="s">
        <v>88</v>
      </c>
      <c r="C42" s="139"/>
      <c r="D42" s="140"/>
      <c r="E42" s="188"/>
      <c r="F42" s="105"/>
      <c r="G42" s="89"/>
      <c r="H42" s="154"/>
      <c r="I42" s="192" t="s">
        <v>88</v>
      </c>
      <c r="J42" s="139"/>
      <c r="K42" s="140"/>
      <c r="L42" s="190"/>
      <c r="M42" s="89"/>
      <c r="N42" s="89"/>
    </row>
    <row r="43" spans="1:14" x14ac:dyDescent="0.25">
      <c r="A43" s="158"/>
      <c r="B43" s="182" t="s">
        <v>121</v>
      </c>
      <c r="C43" s="135">
        <v>69702.008027320015</v>
      </c>
      <c r="D43" s="136">
        <v>92668.689908389948</v>
      </c>
      <c r="E43" s="191">
        <f>SUM(E44:E57)-E45-E46</f>
        <v>68268.375059369995</v>
      </c>
      <c r="F43" s="103">
        <f t="shared" si="0"/>
        <v>0.32949813830425145</v>
      </c>
      <c r="G43" s="93">
        <f>E43/D43-1</f>
        <v>-0.26330700124434181</v>
      </c>
      <c r="H43" s="154"/>
      <c r="I43" s="182" t="s">
        <v>121</v>
      </c>
      <c r="J43" s="135">
        <v>792897.16765299975</v>
      </c>
      <c r="K43" s="136">
        <v>869771.60225141002</v>
      </c>
      <c r="L43" s="191">
        <f>SUM(L44:L57)-L45-L46</f>
        <v>832666.25447291997</v>
      </c>
      <c r="M43" s="84">
        <f t="shared" ref="M43:M59" si="14">K43/J43-1</f>
        <v>9.6953851942693792E-2</v>
      </c>
      <c r="N43" s="85">
        <f>L43/K43-1</f>
        <v>-4.2661024667214442E-2</v>
      </c>
    </row>
    <row r="44" spans="1:14" x14ac:dyDescent="0.25">
      <c r="A44" s="158"/>
      <c r="B44" s="176" t="s">
        <v>122</v>
      </c>
      <c r="C44" s="78">
        <v>38922.934125010004</v>
      </c>
      <c r="D44" s="79">
        <v>59945.516619980001</v>
      </c>
      <c r="E44" s="188">
        <v>38850.362106649998</v>
      </c>
      <c r="F44" s="52">
        <f>D44/C44-1</f>
        <v>0.5401078558839143</v>
      </c>
      <c r="G44" s="81">
        <f>E44/D44-1</f>
        <v>-0.35190545853597555</v>
      </c>
      <c r="H44" s="154"/>
      <c r="I44" s="176" t="s">
        <v>122</v>
      </c>
      <c r="J44" s="78">
        <v>467825.05489189998</v>
      </c>
      <c r="K44" s="79">
        <v>536645.7295899</v>
      </c>
      <c r="L44" s="180">
        <v>513986.61222279002</v>
      </c>
      <c r="M44" s="81">
        <f>K44/J44-1</f>
        <v>0.14710771468600026</v>
      </c>
      <c r="N44" s="87">
        <f>L44/K44-1</f>
        <v>-4.222360510429457E-2</v>
      </c>
    </row>
    <row r="45" spans="1:14" x14ac:dyDescent="0.25">
      <c r="A45" s="158"/>
      <c r="B45" s="176" t="s">
        <v>123</v>
      </c>
      <c r="C45" s="78">
        <v>26216.580569000002</v>
      </c>
      <c r="D45" s="79">
        <v>41158.288673000003</v>
      </c>
      <c r="E45" s="188">
        <v>26188.815671</v>
      </c>
      <c r="F45" s="52">
        <f t="shared" ref="F45:G59" si="15">D45/C45-1</f>
        <v>0.56993352221028926</v>
      </c>
      <c r="G45" s="81">
        <f t="shared" si="15"/>
        <v>-0.36370494217899874</v>
      </c>
      <c r="H45" s="154"/>
      <c r="I45" s="176" t="s">
        <v>123</v>
      </c>
      <c r="J45" s="78">
        <v>281332.05637100001</v>
      </c>
      <c r="K45" s="79">
        <v>322878.58266299998</v>
      </c>
      <c r="L45" s="180">
        <v>317747.75638899999</v>
      </c>
      <c r="M45" s="81">
        <f t="shared" ref="M45:N56" si="16">K45/J45-1</f>
        <v>0.1476778964612957</v>
      </c>
      <c r="N45" s="87">
        <f t="shared" si="16"/>
        <v>-1.5890884529046745E-2</v>
      </c>
    </row>
    <row r="46" spans="1:14" x14ac:dyDescent="0.25">
      <c r="A46" s="158"/>
      <c r="B46" s="176" t="s">
        <v>124</v>
      </c>
      <c r="C46" s="78">
        <v>12706.353556010001</v>
      </c>
      <c r="D46" s="79">
        <v>18787.227946979998</v>
      </c>
      <c r="E46" s="188">
        <v>12661.54643565</v>
      </c>
      <c r="F46" s="52">
        <f t="shared" si="15"/>
        <v>0.47856958836894581</v>
      </c>
      <c r="G46" s="81">
        <f t="shared" si="15"/>
        <v>-0.32605563357284362</v>
      </c>
      <c r="H46" s="154"/>
      <c r="I46" s="176" t="s">
        <v>124</v>
      </c>
      <c r="J46" s="78">
        <v>186492.99852089997</v>
      </c>
      <c r="K46" s="79">
        <v>213767.14692689996</v>
      </c>
      <c r="L46" s="180">
        <v>196238.85583379</v>
      </c>
      <c r="M46" s="81">
        <f t="shared" si="16"/>
        <v>0.14624757295080659</v>
      </c>
      <c r="N46" s="87">
        <f t="shared" si="16"/>
        <v>-8.1997123248802817E-2</v>
      </c>
    </row>
    <row r="47" spans="1:14" x14ac:dyDescent="0.25">
      <c r="A47" s="158"/>
      <c r="B47" s="176" t="s">
        <v>125</v>
      </c>
      <c r="C47" s="78">
        <v>4920.84082932</v>
      </c>
      <c r="D47" s="79">
        <v>4637.9990723000001</v>
      </c>
      <c r="E47" s="188">
        <v>4872.3904323699999</v>
      </c>
      <c r="F47" s="52">
        <f t="shared" si="0"/>
        <v>-5.7478338932390405E-2</v>
      </c>
      <c r="G47" s="81">
        <f t="shared" si="15"/>
        <v>5.0537172693690069E-2</v>
      </c>
      <c r="H47" s="154"/>
      <c r="I47" s="176" t="s">
        <v>125</v>
      </c>
      <c r="J47" s="78">
        <v>47935.260390029995</v>
      </c>
      <c r="K47" s="79">
        <v>51149.875049210008</v>
      </c>
      <c r="L47" s="180">
        <v>50893.537493249998</v>
      </c>
      <c r="M47" s="81">
        <f>K47/J47-1</f>
        <v>6.7061587504145814E-2</v>
      </c>
      <c r="N47" s="87">
        <f t="shared" si="16"/>
        <v>-5.0114991622832727E-3</v>
      </c>
    </row>
    <row r="48" spans="1:14" x14ac:dyDescent="0.25">
      <c r="A48" s="158"/>
      <c r="B48" s="176" t="s">
        <v>126</v>
      </c>
      <c r="C48" s="78">
        <v>232.13987112000001</v>
      </c>
      <c r="D48" s="79">
        <v>253.39340333999999</v>
      </c>
      <c r="E48" s="188">
        <v>184.61328394999998</v>
      </c>
      <c r="F48" s="52">
        <f t="shared" si="0"/>
        <v>9.1554854913369788E-2</v>
      </c>
      <c r="G48" s="81">
        <f t="shared" si="15"/>
        <v>-0.27143610876764512</v>
      </c>
      <c r="H48" s="154"/>
      <c r="I48" s="176" t="s">
        <v>126</v>
      </c>
      <c r="J48" s="78">
        <v>2704.9234882000001</v>
      </c>
      <c r="K48" s="79">
        <v>2263.5082740900002</v>
      </c>
      <c r="L48" s="180">
        <v>2197.4385223000004</v>
      </c>
      <c r="M48" s="81">
        <f t="shared" si="14"/>
        <v>-0.1631895379058359</v>
      </c>
      <c r="N48" s="87">
        <f>L48/K48-1</f>
        <v>-2.9189092236281744E-2</v>
      </c>
    </row>
    <row r="49" spans="1:14" x14ac:dyDescent="0.25">
      <c r="A49" s="158"/>
      <c r="B49" s="176" t="s">
        <v>127</v>
      </c>
      <c r="C49" s="78">
        <v>4883.7645397799997</v>
      </c>
      <c r="D49" s="79">
        <v>6090.3804672299993</v>
      </c>
      <c r="E49" s="188">
        <v>4063.1273486300001</v>
      </c>
      <c r="F49" s="52">
        <f t="shared" si="0"/>
        <v>0.24706676941971373</v>
      </c>
      <c r="G49" s="81">
        <f t="shared" si="15"/>
        <v>-0.33286149026450329</v>
      </c>
      <c r="H49" s="154"/>
      <c r="I49" s="176" t="s">
        <v>127</v>
      </c>
      <c r="J49" s="78">
        <v>45785.041498110004</v>
      </c>
      <c r="K49" s="79">
        <v>47504.142816569991</v>
      </c>
      <c r="L49" s="180">
        <v>47247.87753487</v>
      </c>
      <c r="M49" s="81">
        <f t="shared" si="14"/>
        <v>3.7547226391199118E-2</v>
      </c>
      <c r="N49" s="87">
        <f t="shared" si="16"/>
        <v>-5.3945880612880082E-3</v>
      </c>
    </row>
    <row r="50" spans="1:14" x14ac:dyDescent="0.25">
      <c r="A50" s="158"/>
      <c r="B50" s="137" t="s">
        <v>128</v>
      </c>
      <c r="C50" s="78">
        <v>1123.9613096199998</v>
      </c>
      <c r="D50" s="79">
        <v>2485.2804246000001</v>
      </c>
      <c r="E50" s="188">
        <v>1777.3345460799999</v>
      </c>
      <c r="F50" s="52">
        <f>D50/C50-1</f>
        <v>1.2111796939347039</v>
      </c>
      <c r="G50" s="81">
        <f t="shared" si="15"/>
        <v>-0.28485553240292483</v>
      </c>
      <c r="H50" s="154"/>
      <c r="I50" s="137" t="s">
        <v>128</v>
      </c>
      <c r="J50" s="78">
        <v>21508.992236440001</v>
      </c>
      <c r="K50" s="79">
        <v>21274.895609710002</v>
      </c>
      <c r="L50" s="180">
        <v>17508.00546203</v>
      </c>
      <c r="M50" s="81">
        <f t="shared" si="14"/>
        <v>-1.0883663174762748E-2</v>
      </c>
      <c r="N50" s="87">
        <f t="shared" si="16"/>
        <v>-0.17705798499715164</v>
      </c>
    </row>
    <row r="51" spans="1:14" x14ac:dyDescent="0.25">
      <c r="A51" s="158"/>
      <c r="B51" s="176" t="s">
        <v>129</v>
      </c>
      <c r="C51" s="78">
        <v>2401.3579180000002</v>
      </c>
      <c r="D51" s="79">
        <v>2718.6791410000001</v>
      </c>
      <c r="E51" s="188">
        <v>2509.1558669999999</v>
      </c>
      <c r="F51" s="52">
        <f t="shared" si="0"/>
        <v>0.13214241018443618</v>
      </c>
      <c r="G51" s="81">
        <f t="shared" si="15"/>
        <v>-7.706804044663107E-2</v>
      </c>
      <c r="H51" s="154"/>
      <c r="I51" s="176" t="s">
        <v>129</v>
      </c>
      <c r="J51" s="78">
        <v>24841.210390999997</v>
      </c>
      <c r="K51" s="79">
        <v>26154.515998380004</v>
      </c>
      <c r="L51" s="180">
        <v>26138.167957329999</v>
      </c>
      <c r="M51" s="81">
        <f t="shared" si="14"/>
        <v>5.2868019984075421E-2</v>
      </c>
      <c r="N51" s="87">
        <f t="shared" si="16"/>
        <v>-6.2505614904195816E-4</v>
      </c>
    </row>
    <row r="52" spans="1:14" x14ac:dyDescent="0.25">
      <c r="A52" s="158"/>
      <c r="B52" s="176" t="s">
        <v>130</v>
      </c>
      <c r="C52" s="78">
        <v>5103.1456890899999</v>
      </c>
      <c r="D52" s="79">
        <v>5929.7806559999999</v>
      </c>
      <c r="E52" s="188">
        <v>4834.6445880000001</v>
      </c>
      <c r="F52" s="52">
        <f t="shared" si="0"/>
        <v>0.16198537476154384</v>
      </c>
      <c r="G52" s="81">
        <f t="shared" si="15"/>
        <v>-0.18468407712381318</v>
      </c>
      <c r="H52" s="154"/>
      <c r="I52" s="176" t="s">
        <v>130</v>
      </c>
      <c r="J52" s="78">
        <v>50417.335955810006</v>
      </c>
      <c r="K52" s="79">
        <v>53938.213003000004</v>
      </c>
      <c r="L52" s="180">
        <v>52433.958806440001</v>
      </c>
      <c r="M52" s="81">
        <f t="shared" si="14"/>
        <v>6.9834650729582171E-2</v>
      </c>
      <c r="N52" s="87">
        <f t="shared" si="16"/>
        <v>-2.7888469283851469E-2</v>
      </c>
    </row>
    <row r="53" spans="1:14" x14ac:dyDescent="0.25">
      <c r="A53" s="158"/>
      <c r="B53" s="176" t="s">
        <v>131</v>
      </c>
      <c r="C53" s="78">
        <v>674.18602154999996</v>
      </c>
      <c r="D53" s="79">
        <v>742.30023650999999</v>
      </c>
      <c r="E53" s="188">
        <v>49.519496520000004</v>
      </c>
      <c r="F53" s="52">
        <f t="shared" si="0"/>
        <v>0.10103178170826022</v>
      </c>
      <c r="G53" s="81">
        <f t="shared" si="15"/>
        <v>-0.93328912738486935</v>
      </c>
      <c r="H53" s="154"/>
      <c r="I53" s="176" t="s">
        <v>131</v>
      </c>
      <c r="J53" s="78">
        <v>7304.407234379999</v>
      </c>
      <c r="K53" s="79">
        <v>7115.5726221200002</v>
      </c>
      <c r="L53" s="180">
        <v>1864.5035104200001</v>
      </c>
      <c r="M53" s="81">
        <f t="shared" si="14"/>
        <v>-2.5852147368126133E-2</v>
      </c>
      <c r="N53" s="87">
        <f t="shared" si="16"/>
        <v>-0.73796859234858125</v>
      </c>
    </row>
    <row r="54" spans="1:14" x14ac:dyDescent="0.25">
      <c r="A54" s="158"/>
      <c r="B54" s="176" t="s">
        <v>132</v>
      </c>
      <c r="C54" s="78">
        <v>3488.0131338800002</v>
      </c>
      <c r="D54" s="79">
        <v>3526.9425994399999</v>
      </c>
      <c r="E54" s="188">
        <v>3356.1317506199998</v>
      </c>
      <c r="F54" s="52">
        <f t="shared" si="0"/>
        <v>1.1160928604845965E-2</v>
      </c>
      <c r="G54" s="81">
        <f t="shared" si="15"/>
        <v>-4.8430288841990521E-2</v>
      </c>
      <c r="H54" s="154"/>
      <c r="I54" s="176" t="s">
        <v>132</v>
      </c>
      <c r="J54" s="78">
        <v>46339.243768290005</v>
      </c>
      <c r="K54" s="79">
        <v>49206.784073800001</v>
      </c>
      <c r="L54" s="180">
        <v>49119.334086380004</v>
      </c>
      <c r="M54" s="81">
        <f t="shared" si="14"/>
        <v>6.188146530505656E-2</v>
      </c>
      <c r="N54" s="87">
        <f t="shared" si="16"/>
        <v>-1.7771937155828255E-3</v>
      </c>
    </row>
    <row r="55" spans="1:14" x14ac:dyDescent="0.25">
      <c r="A55" s="158"/>
      <c r="B55" s="176" t="s">
        <v>133</v>
      </c>
      <c r="C55" s="78">
        <v>91.316774190000004</v>
      </c>
      <c r="D55" s="79">
        <v>0</v>
      </c>
      <c r="E55" s="188">
        <v>0</v>
      </c>
      <c r="F55" s="52">
        <f t="shared" si="0"/>
        <v>-1</v>
      </c>
      <c r="G55" s="81" t="e">
        <f t="shared" si="15"/>
        <v>#DIV/0!</v>
      </c>
      <c r="H55" s="154"/>
      <c r="I55" s="176" t="s">
        <v>133</v>
      </c>
      <c r="J55" s="78">
        <v>1448.3666603300001</v>
      </c>
      <c r="K55" s="79">
        <v>896.62574977999998</v>
      </c>
      <c r="L55" s="180">
        <v>347.26550637000003</v>
      </c>
      <c r="M55" s="81">
        <f t="shared" si="14"/>
        <v>-0.38094007937485241</v>
      </c>
      <c r="N55" s="87">
        <f t="shared" si="16"/>
        <v>-0.61269737518110912</v>
      </c>
    </row>
    <row r="56" spans="1:14" x14ac:dyDescent="0.25">
      <c r="A56" s="158"/>
      <c r="B56" s="176" t="s">
        <v>134</v>
      </c>
      <c r="C56" s="78">
        <v>2208.5024738100001</v>
      </c>
      <c r="D56" s="79">
        <v>597.31219880999993</v>
      </c>
      <c r="E56" s="188">
        <v>1845.2639112300001</v>
      </c>
      <c r="F56" s="52">
        <f t="shared" si="0"/>
        <v>-0.72953971938299611</v>
      </c>
      <c r="G56" s="81">
        <f t="shared" si="15"/>
        <v>2.0892787974299574</v>
      </c>
      <c r="H56" s="154"/>
      <c r="I56" s="176" t="s">
        <v>134</v>
      </c>
      <c r="J56" s="78">
        <v>24939.998852430002</v>
      </c>
      <c r="K56" s="79">
        <v>18806.087443499997</v>
      </c>
      <c r="L56" s="180">
        <v>14815.510673550001</v>
      </c>
      <c r="M56" s="81">
        <f t="shared" si="14"/>
        <v>-0.24594673982241799</v>
      </c>
      <c r="N56" s="87">
        <f t="shared" si="16"/>
        <v>-0.21219601269743482</v>
      </c>
    </row>
    <row r="57" spans="1:14" x14ac:dyDescent="0.25">
      <c r="A57" s="158"/>
      <c r="B57" s="176" t="s">
        <v>135</v>
      </c>
      <c r="C57" s="78">
        <v>5651.8453419500001</v>
      </c>
      <c r="D57" s="79">
        <v>5741.1050891800005</v>
      </c>
      <c r="E57" s="188">
        <v>5925.8317283199995</v>
      </c>
      <c r="F57" s="52">
        <f t="shared" si="0"/>
        <v>1.5793027202546162E-2</v>
      </c>
      <c r="G57" s="81">
        <f t="shared" si="15"/>
        <v>3.2176146625175761E-2</v>
      </c>
      <c r="H57" s="154"/>
      <c r="I57" s="176" t="s">
        <v>135</v>
      </c>
      <c r="J57" s="78">
        <v>51847.332286079996</v>
      </c>
      <c r="K57" s="79">
        <v>54815.65202134999</v>
      </c>
      <c r="L57" s="180">
        <v>56114.042697190001</v>
      </c>
      <c r="M57" s="81">
        <f t="shared" si="14"/>
        <v>5.7251156508720369E-2</v>
      </c>
      <c r="N57" s="87">
        <f>L57/K57-1</f>
        <v>2.3686495151682418E-2</v>
      </c>
    </row>
    <row r="58" spans="1:14" x14ac:dyDescent="0.25">
      <c r="A58" s="158"/>
      <c r="B58" s="176" t="s">
        <v>136</v>
      </c>
      <c r="C58" s="78">
        <v>0</v>
      </c>
      <c r="D58" s="79">
        <v>0</v>
      </c>
      <c r="E58" s="188">
        <v>0</v>
      </c>
      <c r="F58" s="141" t="e">
        <f t="shared" si="0"/>
        <v>#DIV/0!</v>
      </c>
      <c r="G58" s="130" t="e">
        <f t="shared" si="15"/>
        <v>#DIV/0!</v>
      </c>
      <c r="H58" s="154"/>
      <c r="I58" s="176" t="s">
        <v>136</v>
      </c>
      <c r="J58" s="78">
        <v>0</v>
      </c>
      <c r="K58" s="79">
        <v>0</v>
      </c>
      <c r="L58" s="180">
        <v>0</v>
      </c>
      <c r="M58" s="130" t="e">
        <f t="shared" si="14"/>
        <v>#DIV/0!</v>
      </c>
      <c r="N58" s="151" t="e">
        <f>L58/K58-1</f>
        <v>#DIV/0!</v>
      </c>
    </row>
    <row r="59" spans="1:14" x14ac:dyDescent="0.25">
      <c r="A59" s="158"/>
      <c r="B59" s="176" t="s">
        <v>137</v>
      </c>
      <c r="C59" s="78">
        <v>108.63135957999999</v>
      </c>
      <c r="D59" s="79">
        <v>0</v>
      </c>
      <c r="E59" s="188">
        <v>0</v>
      </c>
      <c r="F59" s="141">
        <f t="shared" si="0"/>
        <v>-1</v>
      </c>
      <c r="G59" s="130" t="e">
        <f t="shared" si="15"/>
        <v>#DIV/0!</v>
      </c>
      <c r="H59" s="154"/>
      <c r="I59" s="176" t="s">
        <v>137</v>
      </c>
      <c r="J59" s="78">
        <v>1239.7488919099999</v>
      </c>
      <c r="K59" s="79">
        <v>0</v>
      </c>
      <c r="L59" s="180">
        <v>0</v>
      </c>
      <c r="M59" s="130">
        <f t="shared" si="14"/>
        <v>-1</v>
      </c>
      <c r="N59" s="151" t="e">
        <f>L59/K59-1</f>
        <v>#DIV/0!</v>
      </c>
    </row>
    <row r="60" spans="1:14" x14ac:dyDescent="0.25">
      <c r="A60" s="158"/>
      <c r="B60" s="193"/>
      <c r="C60" s="142"/>
      <c r="D60" s="143"/>
      <c r="E60" s="194"/>
      <c r="F60" s="92"/>
      <c r="G60" s="89"/>
      <c r="H60" s="154"/>
      <c r="I60" s="193"/>
      <c r="J60" s="144"/>
      <c r="K60" s="145"/>
      <c r="L60" s="195"/>
      <c r="M60" s="89"/>
      <c r="N60" s="90"/>
    </row>
    <row r="61" spans="1:14" x14ac:dyDescent="0.25">
      <c r="A61" s="158"/>
      <c r="B61" s="196" t="s">
        <v>32</v>
      </c>
      <c r="C61" s="94">
        <v>45518.240375910005</v>
      </c>
      <c r="D61" s="112">
        <v>48625.589772669999</v>
      </c>
      <c r="E61" s="112">
        <v>50757.06457278</v>
      </c>
      <c r="F61" s="106">
        <f t="shared" si="0"/>
        <v>6.8266026346759157E-2</v>
      </c>
      <c r="G61" s="95">
        <f>E61/D61-1</f>
        <v>4.3834425660951082E-2</v>
      </c>
      <c r="H61" s="154"/>
      <c r="I61" s="196" t="s">
        <v>32</v>
      </c>
      <c r="J61" s="94">
        <v>460829.06850738009</v>
      </c>
      <c r="K61" s="112">
        <v>488188.10861089994</v>
      </c>
      <c r="L61" s="197">
        <v>512647.00396132999</v>
      </c>
      <c r="M61" s="95">
        <f t="shared" ref="M61:M63" si="17">K61/J61-1</f>
        <v>5.9369171723770542E-2</v>
      </c>
      <c r="N61" s="95">
        <f>L61/K61-1</f>
        <v>5.0101374693508838E-2</v>
      </c>
    </row>
    <row r="62" spans="1:14" x14ac:dyDescent="0.25">
      <c r="A62" s="158"/>
      <c r="B62" s="196" t="s">
        <v>12</v>
      </c>
      <c r="C62" s="96">
        <v>10498.632418360001</v>
      </c>
      <c r="D62" s="96">
        <v>9578.3932254599986</v>
      </c>
      <c r="E62" s="96">
        <v>9742.2375657900011</v>
      </c>
      <c r="F62" s="107">
        <f t="shared" si="0"/>
        <v>-8.7653244368351091E-2</v>
      </c>
      <c r="G62" s="97">
        <f t="shared" si="0"/>
        <v>1.71056184971079E-2</v>
      </c>
      <c r="H62" s="154"/>
      <c r="I62" s="196" t="s">
        <v>12</v>
      </c>
      <c r="J62" s="96">
        <v>133961.37105650999</v>
      </c>
      <c r="K62" s="113">
        <v>157169.42956904997</v>
      </c>
      <c r="L62" s="198">
        <v>141201.69687948003</v>
      </c>
      <c r="M62" s="97">
        <f t="shared" si="17"/>
        <v>0.17324440866427038</v>
      </c>
      <c r="N62" s="97">
        <f>L62/K62-1</f>
        <v>-0.10159566483986482</v>
      </c>
    </row>
    <row r="63" spans="1:14" x14ac:dyDescent="0.25">
      <c r="A63" s="158"/>
      <c r="B63" s="199" t="s">
        <v>138</v>
      </c>
      <c r="C63" s="98">
        <v>1070.08319987</v>
      </c>
      <c r="D63" s="114">
        <v>1387.9868161300001</v>
      </c>
      <c r="E63" s="114">
        <v>4323.0374436700004</v>
      </c>
      <c r="F63" s="108">
        <f t="shared" si="0"/>
        <v>0.29708308316458076</v>
      </c>
      <c r="G63" s="99">
        <f t="shared" si="0"/>
        <v>2.1146098748427167</v>
      </c>
      <c r="H63" s="154"/>
      <c r="I63" s="196" t="s">
        <v>138</v>
      </c>
      <c r="J63" s="98">
        <v>15202.961507259999</v>
      </c>
      <c r="K63" s="114">
        <v>42375.827245519991</v>
      </c>
      <c r="L63" s="200">
        <v>20764.776420620001</v>
      </c>
      <c r="M63" s="99">
        <f t="shared" si="17"/>
        <v>1.7873402971706467</v>
      </c>
      <c r="N63" s="99">
        <f>L63/K63-1</f>
        <v>-0.50998534375950688</v>
      </c>
    </row>
    <row r="64" spans="1:14" x14ac:dyDescent="0.25">
      <c r="A64" s="158"/>
      <c r="B64" s="199" t="s">
        <v>139</v>
      </c>
      <c r="C64" s="98">
        <v>0</v>
      </c>
      <c r="D64" s="114">
        <v>0</v>
      </c>
      <c r="E64" s="114">
        <v>67.8464946</v>
      </c>
      <c r="F64" s="108">
        <v>0</v>
      </c>
      <c r="G64" s="99">
        <v>0</v>
      </c>
      <c r="H64" s="201"/>
      <c r="I64" s="202" t="s">
        <v>139</v>
      </c>
      <c r="J64" s="98">
        <v>7350.7446680000003</v>
      </c>
      <c r="K64" s="114">
        <v>7601.7186040000006</v>
      </c>
      <c r="L64" s="200">
        <v>16428.95030774</v>
      </c>
      <c r="M64" s="109">
        <v>0</v>
      </c>
      <c r="N64" s="99">
        <v>0</v>
      </c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fe095ecd239d9152391949dc7f61bcff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52afec7d813f766d8c7989f4cbc4017e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73FB7811-CFF8-46ED-BECE-931991908C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06712-64E1-467B-958E-05900B457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D5E4F7-5064-4C65-8469-1BE47291AF32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SIMPLE</vt:lpstr>
      <vt:lpstr>ACUMULADO</vt:lpstr>
      <vt:lpstr>Ingresos</vt:lpstr>
      <vt:lpstr>ACUMULADO!Área_de_impresión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Miriam Araya Porras</cp:lastModifiedBy>
  <cp:lastPrinted>2014-11-20T17:47:53Z</cp:lastPrinted>
  <dcterms:created xsi:type="dcterms:W3CDTF">1996-11-27T10:00:04Z</dcterms:created>
  <dcterms:modified xsi:type="dcterms:W3CDTF">2025-12-24T04:20:13Z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0x010100EB04A67B5499E14787401D8D5CC90E62</vt:lpwstr>
  </property>
</Properties>
</file>