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INGRESOS Y GASTOS RECONOCIDO/2025/07 Julio 2025/"/>
    </mc:Choice>
  </mc:AlternateContent>
  <xr:revisionPtr revIDLastSave="163" documentId="14_{C41BA186-690F-466A-9CDC-B2633971FAC6}" xr6:coauthVersionLast="47" xr6:coauthVersionMax="47" xr10:uidLastSave="{D57A5E64-39B2-43A0-B13F-8A27EA34A68A}"/>
  <bookViews>
    <workbookView xWindow="-120" yWindow="-120" windowWidth="29040" windowHeight="15720" activeTab="1" xr2:uid="{856BF4A0-FA27-42CB-9862-7484EBE2D773}"/>
  </bookViews>
  <sheets>
    <sheet name="SIMPLE" sheetId="1" r:id="rId1"/>
    <sheet name="ACUMULADO" sheetId="2" r:id="rId2"/>
    <sheet name="INGRESOS" sheetId="4" r:id="rId3"/>
  </sheets>
  <definedNames>
    <definedName name="\a">#REF!</definedName>
    <definedName name="ANITA">#REF!</definedName>
    <definedName name="_xlnm.Print_Area" localSheetId="1">ACUMULADO!$A$1:$AJ$84</definedName>
    <definedName name="_xlnm.Print_Area" localSheetId="0">SIMPLE!$A$1:$AJ$82</definedName>
    <definedName name="BERNA">#REF!</definedName>
    <definedName name="INGRE">#REF!</definedName>
    <definedName name="J">#REF!</definedName>
    <definedName name="NOTAS">#REF!</definedName>
    <definedName name="PASA">#REF!</definedName>
    <definedName name="REES">#REF!</definedName>
    <definedName name="RESU">#REF!</definedName>
    <definedName name="tabla">#REF!</definedName>
    <definedName name="Z_436A6C56_38E6_4AE7_BBD0_1E90C9C72A7E_.wvu.Cols" localSheetId="1" hidden="1">ACUMULADO!#REF!,ACUMULADO!$AH:$AI</definedName>
    <definedName name="Z_436A6C56_38E6_4AE7_BBD0_1E90C9C72A7E_.wvu.Cols" localSheetId="0" hidden="1">SIMPLE!#REF!,SIMPLE!$AH:$AI</definedName>
    <definedName name="Z_436A6C56_38E6_4AE7_BBD0_1E90C9C72A7E_.wvu.PrintArea" localSheetId="1" hidden="1">ACUMULADO!$A$1:$AI$79</definedName>
    <definedName name="Z_436A6C56_38E6_4AE7_BBD0_1E90C9C72A7E_.wvu.PrintArea" localSheetId="0" hidden="1">SIMPLE!$A$1:$AI$79</definedName>
  </definedNames>
  <calcPr calcId="191029"/>
  <customWorkbookViews>
    <customWorkbookView name="Leonel Rivera Solano - Vista personalizada" guid="{436A6C56-38E6-4AE7-BBD0-1E90C9C72A7E}" mergeInterval="0" personalView="1" maximized="1" windowWidth="1344" windowHeight="6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2" l="1"/>
  <c r="N63" i="4"/>
  <c r="M63" i="4"/>
  <c r="G63" i="4"/>
  <c r="F63" i="4"/>
  <c r="N62" i="4"/>
  <c r="M62" i="4"/>
  <c r="G62" i="4"/>
  <c r="F62" i="4"/>
  <c r="N61" i="4"/>
  <c r="M61" i="4"/>
  <c r="G61" i="4"/>
  <c r="F61" i="4"/>
  <c r="N59" i="4"/>
  <c r="M59" i="4"/>
  <c r="G59" i="4"/>
  <c r="F59" i="4"/>
  <c r="N58" i="4"/>
  <c r="M58" i="4"/>
  <c r="G58" i="4"/>
  <c r="F58" i="4"/>
  <c r="N57" i="4"/>
  <c r="M57" i="4"/>
  <c r="G57" i="4"/>
  <c r="F57" i="4"/>
  <c r="N56" i="4"/>
  <c r="M56" i="4"/>
  <c r="G56" i="4"/>
  <c r="F56" i="4"/>
  <c r="N55" i="4"/>
  <c r="M55" i="4"/>
  <c r="G55" i="4"/>
  <c r="F55" i="4"/>
  <c r="N54" i="4"/>
  <c r="M54" i="4"/>
  <c r="G54" i="4"/>
  <c r="F54" i="4"/>
  <c r="N53" i="4"/>
  <c r="M53" i="4"/>
  <c r="G53" i="4"/>
  <c r="F53" i="4"/>
  <c r="N52" i="4"/>
  <c r="M52" i="4"/>
  <c r="G52" i="4"/>
  <c r="F52" i="4"/>
  <c r="N51" i="4"/>
  <c r="M51" i="4"/>
  <c r="G51" i="4"/>
  <c r="F51" i="4"/>
  <c r="N50" i="4"/>
  <c r="M50" i="4"/>
  <c r="G50" i="4"/>
  <c r="F50" i="4"/>
  <c r="N49" i="4"/>
  <c r="M49" i="4"/>
  <c r="G49" i="4"/>
  <c r="F49" i="4"/>
  <c r="N48" i="4"/>
  <c r="M48" i="4"/>
  <c r="G48" i="4"/>
  <c r="F48" i="4"/>
  <c r="N47" i="4"/>
  <c r="M47" i="4"/>
  <c r="G47" i="4"/>
  <c r="F47" i="4"/>
  <c r="N46" i="4"/>
  <c r="M46" i="4"/>
  <c r="G46" i="4"/>
  <c r="F46" i="4"/>
  <c r="N45" i="4"/>
  <c r="M45" i="4"/>
  <c r="G45" i="4"/>
  <c r="F45" i="4"/>
  <c r="N44" i="4"/>
  <c r="M44" i="4"/>
  <c r="G44" i="4"/>
  <c r="F44" i="4"/>
  <c r="M43" i="4"/>
  <c r="L43" i="4"/>
  <c r="N43" i="4" s="1"/>
  <c r="G43" i="4"/>
  <c r="F43" i="4"/>
  <c r="E43" i="4"/>
  <c r="N41" i="4"/>
  <c r="M41" i="4"/>
  <c r="G41" i="4"/>
  <c r="F41" i="4"/>
  <c r="N40" i="4"/>
  <c r="M40" i="4"/>
  <c r="L39" i="4"/>
  <c r="N39" i="4" s="1"/>
  <c r="G40" i="4"/>
  <c r="F40" i="4"/>
  <c r="E39" i="4"/>
  <c r="G39" i="4" s="1"/>
  <c r="M39" i="4"/>
  <c r="F39" i="4"/>
  <c r="N37" i="4"/>
  <c r="M37" i="4"/>
  <c r="G37" i="4"/>
  <c r="F37" i="4"/>
  <c r="M36" i="4"/>
  <c r="N36" i="4"/>
  <c r="G36" i="4"/>
  <c r="F36" i="4"/>
  <c r="E35" i="4"/>
  <c r="G35" i="4" s="1"/>
  <c r="M35" i="4"/>
  <c r="F35" i="4"/>
  <c r="M33" i="4"/>
  <c r="N33" i="4"/>
  <c r="F33" i="4"/>
  <c r="G33" i="4"/>
  <c r="M32" i="4"/>
  <c r="N32" i="4"/>
  <c r="F32" i="4"/>
  <c r="G32" i="4"/>
  <c r="M31" i="4"/>
  <c r="N31" i="4"/>
  <c r="F31" i="4"/>
  <c r="G31" i="4"/>
  <c r="M30" i="4"/>
  <c r="F30" i="4"/>
  <c r="E30" i="4"/>
  <c r="G30" i="4" s="1"/>
  <c r="M28" i="4"/>
  <c r="N28" i="4"/>
  <c r="F28" i="4"/>
  <c r="G28" i="4"/>
  <c r="M27" i="4"/>
  <c r="N27" i="4"/>
  <c r="F27" i="4"/>
  <c r="E26" i="4"/>
  <c r="G26" i="4" s="1"/>
  <c r="M26" i="4"/>
  <c r="L26" i="4"/>
  <c r="N26" i="4" s="1"/>
  <c r="F26" i="4"/>
  <c r="M24" i="4"/>
  <c r="N24" i="4"/>
  <c r="F24" i="4"/>
  <c r="G24" i="4"/>
  <c r="M23" i="4"/>
  <c r="L21" i="4"/>
  <c r="N21" i="4" s="1"/>
  <c r="F23" i="4"/>
  <c r="G23" i="4"/>
  <c r="M22" i="4"/>
  <c r="N22" i="4"/>
  <c r="F22" i="4"/>
  <c r="E21" i="4"/>
  <c r="G21" i="4" s="1"/>
  <c r="M21" i="4"/>
  <c r="F21" i="4"/>
  <c r="N18" i="4"/>
  <c r="M18" i="4"/>
  <c r="G18" i="4"/>
  <c r="F18" i="4"/>
  <c r="N17" i="4"/>
  <c r="M17" i="4"/>
  <c r="G17" i="4"/>
  <c r="F17" i="4"/>
  <c r="N16" i="4"/>
  <c r="M16" i="4"/>
  <c r="G16" i="4"/>
  <c r="F16" i="4"/>
  <c r="N15" i="4"/>
  <c r="M15" i="4"/>
  <c r="L14" i="4"/>
  <c r="G15" i="4"/>
  <c r="F15" i="4"/>
  <c r="E14" i="4"/>
  <c r="M14" i="4"/>
  <c r="F14" i="4"/>
  <c r="M12" i="4"/>
  <c r="F12" i="4"/>
  <c r="M10" i="4"/>
  <c r="F10" i="4"/>
  <c r="M9" i="4"/>
  <c r="F9" i="4"/>
  <c r="N14" i="4" l="1"/>
  <c r="E12" i="4"/>
  <c r="G14" i="4"/>
  <c r="G22" i="4"/>
  <c r="G27" i="4"/>
  <c r="L35" i="4"/>
  <c r="N35" i="4" s="1"/>
  <c r="L30" i="4"/>
  <c r="N30" i="4" s="1"/>
  <c r="N23" i="4"/>
  <c r="V65" i="1"/>
  <c r="U65" i="1"/>
  <c r="AO67" i="1"/>
  <c r="AO66" i="1"/>
  <c r="AO65" i="1"/>
  <c r="AO63" i="1"/>
  <c r="AO62" i="1"/>
  <c r="AO61" i="1"/>
  <c r="AO60" i="1"/>
  <c r="AO58" i="1"/>
  <c r="AO54" i="1"/>
  <c r="AO53" i="1"/>
  <c r="AO52" i="1"/>
  <c r="AO51" i="1"/>
  <c r="AO48" i="1"/>
  <c r="AO47" i="1"/>
  <c r="AO45" i="1"/>
  <c r="AO44" i="1"/>
  <c r="AO43" i="1"/>
  <c r="AO34" i="1"/>
  <c r="AO32" i="1"/>
  <c r="AO31" i="1"/>
  <c r="AO30" i="1"/>
  <c r="AO29" i="1"/>
  <c r="AO27" i="1"/>
  <c r="AO26" i="1"/>
  <c r="AO25" i="1"/>
  <c r="AO23" i="1"/>
  <c r="AO22" i="1"/>
  <c r="AO20" i="1"/>
  <c r="AO19" i="1"/>
  <c r="AO18" i="1"/>
  <c r="AO16" i="1"/>
  <c r="AO15" i="1"/>
  <c r="AO13" i="1"/>
  <c r="AO67" i="2"/>
  <c r="AO66" i="2"/>
  <c r="AO63" i="2"/>
  <c r="AO62" i="2"/>
  <c r="AO61" i="2"/>
  <c r="AO60" i="2"/>
  <c r="AO58" i="2"/>
  <c r="AO54" i="2"/>
  <c r="AO53" i="2"/>
  <c r="AO52" i="2"/>
  <c r="AO51" i="2"/>
  <c r="AO48" i="2"/>
  <c r="AO47" i="2"/>
  <c r="AO45" i="2"/>
  <c r="AO44" i="2"/>
  <c r="AO43" i="2"/>
  <c r="AO34" i="2"/>
  <c r="AO32" i="2"/>
  <c r="AO31" i="2"/>
  <c r="AO30" i="2"/>
  <c r="AO29" i="2"/>
  <c r="AO28" i="2"/>
  <c r="AO27" i="2"/>
  <c r="AO26" i="2"/>
  <c r="AO25" i="2"/>
  <c r="AO23" i="2"/>
  <c r="AO22" i="2"/>
  <c r="AO20" i="2"/>
  <c r="AO19" i="2"/>
  <c r="AO18" i="2"/>
  <c r="AO16" i="2"/>
  <c r="AO15" i="2"/>
  <c r="AO13" i="2"/>
  <c r="V74" i="2"/>
  <c r="V65" i="2"/>
  <c r="AO65" i="2" s="1"/>
  <c r="V59" i="2"/>
  <c r="V56" i="2" s="1"/>
  <c r="AO56" i="2" s="1"/>
  <c r="V50" i="2"/>
  <c r="V40" i="2" s="1"/>
  <c r="AO40" i="2" s="1"/>
  <c r="V46" i="2"/>
  <c r="V42" i="2"/>
  <c r="AO42" i="2" s="1"/>
  <c r="AO24" i="2"/>
  <c r="U24" i="2"/>
  <c r="V21" i="2"/>
  <c r="AO21" i="2" s="1"/>
  <c r="V17" i="2"/>
  <c r="AO17" i="2" s="1"/>
  <c r="V14" i="2"/>
  <c r="AO14" i="2" s="1"/>
  <c r="V74" i="1"/>
  <c r="V59" i="1"/>
  <c r="AO59" i="1" s="1"/>
  <c r="V50" i="1"/>
  <c r="AO50" i="1" s="1"/>
  <c r="V46" i="1"/>
  <c r="V42" i="1"/>
  <c r="V24" i="1"/>
  <c r="AO24" i="1" s="1"/>
  <c r="V21" i="1"/>
  <c r="AO21" i="1" s="1"/>
  <c r="V17" i="1"/>
  <c r="AO17" i="1" s="1"/>
  <c r="V14" i="1"/>
  <c r="AO14" i="1" s="1"/>
  <c r="U74" i="1"/>
  <c r="U75" i="2"/>
  <c r="U74" i="2" s="1"/>
  <c r="U17" i="2"/>
  <c r="AN17" i="2" s="1"/>
  <c r="U65" i="2"/>
  <c r="U21" i="2"/>
  <c r="AN67" i="1"/>
  <c r="AN66" i="1"/>
  <c r="AN63" i="1"/>
  <c r="AN62" i="1"/>
  <c r="AN61" i="1"/>
  <c r="AN60" i="1"/>
  <c r="AN58" i="1"/>
  <c r="AN54" i="1"/>
  <c r="AN53" i="1"/>
  <c r="AN52" i="1"/>
  <c r="AN51" i="1"/>
  <c r="AN48" i="1"/>
  <c r="AN47" i="1"/>
  <c r="AN45" i="1"/>
  <c r="AN44" i="1"/>
  <c r="AN43" i="1"/>
  <c r="AN34" i="1"/>
  <c r="AN32" i="1"/>
  <c r="AN31" i="1"/>
  <c r="AN30" i="1"/>
  <c r="AN29" i="1"/>
  <c r="AN27" i="1"/>
  <c r="AN26" i="1"/>
  <c r="AN25" i="1"/>
  <c r="AN23" i="1"/>
  <c r="AN22" i="1"/>
  <c r="AN20" i="1"/>
  <c r="AN19" i="1"/>
  <c r="AN18" i="1"/>
  <c r="AN16" i="1"/>
  <c r="AN15" i="1"/>
  <c r="AN13" i="1"/>
  <c r="AN67" i="2"/>
  <c r="AN66" i="2"/>
  <c r="AN63" i="2"/>
  <c r="AN62" i="2"/>
  <c r="AN61" i="2"/>
  <c r="AN60" i="2"/>
  <c r="AN58" i="2"/>
  <c r="AN54" i="2"/>
  <c r="AN53" i="2"/>
  <c r="AN52" i="2"/>
  <c r="AN51" i="2"/>
  <c r="AN48" i="2"/>
  <c r="AN47" i="2"/>
  <c r="AN45" i="2"/>
  <c r="AN44" i="2"/>
  <c r="AN43" i="2"/>
  <c r="AN34" i="2"/>
  <c r="AN32" i="2"/>
  <c r="AN31" i="2"/>
  <c r="AN30" i="2"/>
  <c r="AN29" i="2"/>
  <c r="AN28" i="2"/>
  <c r="AN27" i="2"/>
  <c r="AN26" i="2"/>
  <c r="AN25" i="2"/>
  <c r="AN23" i="2"/>
  <c r="AN22" i="2"/>
  <c r="AN20" i="2"/>
  <c r="AN19" i="2"/>
  <c r="AN18" i="2"/>
  <c r="AN16" i="2"/>
  <c r="AN15" i="2"/>
  <c r="AN13" i="2"/>
  <c r="U59" i="1"/>
  <c r="AN59" i="1" s="1"/>
  <c r="U50" i="1"/>
  <c r="AN50" i="1" s="1"/>
  <c r="U46" i="1"/>
  <c r="U42" i="1"/>
  <c r="AN42" i="1" s="1"/>
  <c r="U24" i="1"/>
  <c r="U21" i="1"/>
  <c r="U17" i="1"/>
  <c r="U14" i="1"/>
  <c r="U59" i="2"/>
  <c r="U56" i="2" s="1"/>
  <c r="U50" i="2"/>
  <c r="U46" i="2"/>
  <c r="AN46" i="2" s="1"/>
  <c r="U42" i="2"/>
  <c r="AN42" i="2" s="1"/>
  <c r="U14" i="2"/>
  <c r="T21" i="2"/>
  <c r="AM21" i="2" s="1"/>
  <c r="T50" i="1"/>
  <c r="T24" i="2"/>
  <c r="T65" i="2"/>
  <c r="AM29" i="2"/>
  <c r="AM28" i="2"/>
  <c r="AM15" i="2"/>
  <c r="AM34" i="1"/>
  <c r="AM67" i="1"/>
  <c r="AM66" i="1"/>
  <c r="AM63" i="1"/>
  <c r="AM62" i="1"/>
  <c r="AM61" i="1"/>
  <c r="AM60" i="1"/>
  <c r="AM58" i="1"/>
  <c r="AM54" i="1"/>
  <c r="AM53" i="1"/>
  <c r="AM52" i="1"/>
  <c r="AM51" i="1"/>
  <c r="AM48" i="1"/>
  <c r="AM47" i="1"/>
  <c r="AM45" i="1"/>
  <c r="AM44" i="1"/>
  <c r="AM43" i="1"/>
  <c r="AM31" i="1"/>
  <c r="AM32" i="1"/>
  <c r="AM30" i="1"/>
  <c r="AM29" i="1"/>
  <c r="AM28" i="1"/>
  <c r="AM27" i="1"/>
  <c r="AM26" i="1"/>
  <c r="AM25" i="1"/>
  <c r="AM23" i="1"/>
  <c r="AM22" i="1"/>
  <c r="AM20" i="1"/>
  <c r="AM19" i="1"/>
  <c r="AM18" i="1"/>
  <c r="AM16" i="1"/>
  <c r="AM15" i="1"/>
  <c r="AM13" i="1"/>
  <c r="T74" i="1"/>
  <c r="T65" i="1"/>
  <c r="AN65" i="1" s="1"/>
  <c r="T59" i="1"/>
  <c r="T56" i="1"/>
  <c r="T46" i="1"/>
  <c r="T42" i="1"/>
  <c r="T24" i="1"/>
  <c r="T21" i="1"/>
  <c r="T17" i="1"/>
  <c r="AM17" i="1" s="1"/>
  <c r="T14" i="1"/>
  <c r="AM67" i="2"/>
  <c r="AM66" i="2"/>
  <c r="AM63" i="2"/>
  <c r="AM62" i="2"/>
  <c r="AM61" i="2"/>
  <c r="AM60" i="2"/>
  <c r="AM58" i="2"/>
  <c r="AM54" i="2"/>
  <c r="AM53" i="2"/>
  <c r="AM52" i="2"/>
  <c r="AM51" i="2"/>
  <c r="AM48" i="2"/>
  <c r="AM47" i="2"/>
  <c r="AM45" i="2"/>
  <c r="AM44" i="2"/>
  <c r="AM43" i="2"/>
  <c r="AM34" i="2"/>
  <c r="AM32" i="2"/>
  <c r="AM31" i="2"/>
  <c r="AM30" i="2"/>
  <c r="AM27" i="2"/>
  <c r="AM26" i="2"/>
  <c r="AM25" i="2"/>
  <c r="AM23" i="2"/>
  <c r="AM22" i="2"/>
  <c r="AM20" i="2"/>
  <c r="AM19" i="2"/>
  <c r="AM18" i="2"/>
  <c r="AM16" i="2"/>
  <c r="AM13" i="2"/>
  <c r="T74" i="2"/>
  <c r="T59" i="2"/>
  <c r="AN59" i="2" s="1"/>
  <c r="T50" i="2"/>
  <c r="AN50" i="2" s="1"/>
  <c r="T46" i="2"/>
  <c r="T42" i="2"/>
  <c r="AM42" i="2" s="1"/>
  <c r="T17" i="2"/>
  <c r="T14" i="2"/>
  <c r="S74" i="1"/>
  <c r="S74" i="2"/>
  <c r="S24" i="2"/>
  <c r="AM24" i="2" s="1"/>
  <c r="S21" i="2"/>
  <c r="S24" i="1"/>
  <c r="S65" i="2"/>
  <c r="AM65" i="2" s="1"/>
  <c r="S59" i="2"/>
  <c r="S56" i="2"/>
  <c r="AL67" i="2"/>
  <c r="AL66" i="2"/>
  <c r="AL63" i="2"/>
  <c r="AL62" i="2"/>
  <c r="AL61" i="2"/>
  <c r="AL60" i="2"/>
  <c r="AL58" i="2"/>
  <c r="AL54" i="2"/>
  <c r="AL53" i="2"/>
  <c r="AL52" i="2"/>
  <c r="AL51" i="2"/>
  <c r="AL48" i="2"/>
  <c r="AL47" i="2"/>
  <c r="AL45" i="2"/>
  <c r="AL44" i="2"/>
  <c r="AL43" i="2"/>
  <c r="AL34" i="2"/>
  <c r="AL32" i="2"/>
  <c r="AL31" i="2"/>
  <c r="AL30" i="2"/>
  <c r="AL27" i="2"/>
  <c r="AL26" i="2"/>
  <c r="AL25" i="2"/>
  <c r="AL23" i="2"/>
  <c r="AL22" i="2"/>
  <c r="AL20" i="2"/>
  <c r="AL19" i="2"/>
  <c r="AL18" i="2"/>
  <c r="AL16" i="2"/>
  <c r="AL15" i="2"/>
  <c r="AL13" i="2"/>
  <c r="S50" i="2"/>
  <c r="AL50" i="2"/>
  <c r="S46" i="2"/>
  <c r="AL46" i="2" s="1"/>
  <c r="S42" i="2"/>
  <c r="S17" i="2"/>
  <c r="S14" i="2"/>
  <c r="AL14" i="2" s="1"/>
  <c r="W19" i="2"/>
  <c r="AL67" i="1"/>
  <c r="AL66" i="1"/>
  <c r="AL63" i="1"/>
  <c r="AL62" i="1"/>
  <c r="AL61" i="1"/>
  <c r="AL60" i="1"/>
  <c r="AL58" i="1"/>
  <c r="AL54" i="1"/>
  <c r="AL53" i="1"/>
  <c r="AL52" i="1"/>
  <c r="AL51" i="1"/>
  <c r="AL48" i="1"/>
  <c r="AL47" i="1"/>
  <c r="AL45" i="1"/>
  <c r="AL44" i="1"/>
  <c r="AL43" i="1"/>
  <c r="AL34" i="1"/>
  <c r="AL32" i="1"/>
  <c r="AL31" i="1"/>
  <c r="AL30" i="1"/>
  <c r="AL27" i="1"/>
  <c r="AL26" i="1"/>
  <c r="AL25" i="1"/>
  <c r="AL23" i="1"/>
  <c r="AL22" i="1"/>
  <c r="AL20" i="1"/>
  <c r="AL19" i="1"/>
  <c r="AL18" i="1"/>
  <c r="AL16" i="1"/>
  <c r="AL15" i="1"/>
  <c r="AL13" i="1"/>
  <c r="S65" i="1"/>
  <c r="S59" i="1"/>
  <c r="S50" i="1"/>
  <c r="S46" i="1"/>
  <c r="S40" i="1" s="1"/>
  <c r="S42" i="1"/>
  <c r="S21" i="1"/>
  <c r="W21" i="1"/>
  <c r="S17" i="1"/>
  <c r="S14" i="1"/>
  <c r="R74" i="2"/>
  <c r="R74" i="1"/>
  <c r="R17" i="2"/>
  <c r="R65" i="2"/>
  <c r="AK65" i="2" s="1"/>
  <c r="AK67" i="2"/>
  <c r="AK66" i="2"/>
  <c r="AK63" i="2"/>
  <c r="AK62" i="2"/>
  <c r="AK61" i="2"/>
  <c r="AK60" i="2"/>
  <c r="AK58" i="2"/>
  <c r="AK54" i="2"/>
  <c r="AK53" i="2"/>
  <c r="AK52" i="2"/>
  <c r="AK51" i="2"/>
  <c r="AK48" i="2"/>
  <c r="AK47" i="2"/>
  <c r="AK45" i="2"/>
  <c r="AK44" i="2"/>
  <c r="AK43" i="2"/>
  <c r="AK34" i="2"/>
  <c r="AK32" i="2"/>
  <c r="AK31" i="2"/>
  <c r="AK30" i="2"/>
  <c r="AK27" i="2"/>
  <c r="AK26" i="2"/>
  <c r="AK25" i="2"/>
  <c r="AK23" i="2"/>
  <c r="AK22" i="2"/>
  <c r="AK20" i="2"/>
  <c r="AK19" i="2"/>
  <c r="AK18" i="2"/>
  <c r="AK16" i="2"/>
  <c r="AK15" i="2"/>
  <c r="AK13" i="2"/>
  <c r="R59" i="2"/>
  <c r="AL59" i="2" s="1"/>
  <c r="R50" i="2"/>
  <c r="R46" i="2"/>
  <c r="R40" i="2"/>
  <c r="R42" i="2"/>
  <c r="R24" i="2"/>
  <c r="R21" i="2"/>
  <c r="R14" i="2"/>
  <c r="R12" i="2" s="1"/>
  <c r="AK67" i="1"/>
  <c r="AK66" i="1"/>
  <c r="AK63" i="1"/>
  <c r="AK62" i="1"/>
  <c r="AK61" i="1"/>
  <c r="AK60" i="1"/>
  <c r="AK58" i="1"/>
  <c r="AK54" i="1"/>
  <c r="AK53" i="1"/>
  <c r="AK52" i="1"/>
  <c r="AK51" i="1"/>
  <c r="AK48" i="1"/>
  <c r="AK47" i="1"/>
  <c r="AK45" i="1"/>
  <c r="AK44" i="1"/>
  <c r="AK43" i="1"/>
  <c r="AK34" i="1"/>
  <c r="AK32" i="1"/>
  <c r="AK31" i="1"/>
  <c r="AK30" i="1"/>
  <c r="AK27" i="1"/>
  <c r="AK26" i="1"/>
  <c r="AK25" i="1"/>
  <c r="AK23" i="1"/>
  <c r="AK22" i="1"/>
  <c r="AK20" i="1"/>
  <c r="AK19" i="1"/>
  <c r="AK18" i="1"/>
  <c r="AK16" i="1"/>
  <c r="AK15" i="1"/>
  <c r="AK13" i="1"/>
  <c r="R65" i="1"/>
  <c r="R59" i="1"/>
  <c r="R56" i="1" s="1"/>
  <c r="R50" i="1"/>
  <c r="AL50" i="1" s="1"/>
  <c r="R46" i="1"/>
  <c r="R40" i="1" s="1"/>
  <c r="AK40" i="1" s="1"/>
  <c r="R42" i="1"/>
  <c r="R24" i="1"/>
  <c r="R21" i="1"/>
  <c r="R17" i="1"/>
  <c r="R14" i="1"/>
  <c r="AD34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AJ63" i="2"/>
  <c r="AI63" i="2"/>
  <c r="AH63" i="2"/>
  <c r="AE63" i="2"/>
  <c r="AD63" i="2"/>
  <c r="AC63" i="2"/>
  <c r="AB63" i="2"/>
  <c r="AA63" i="2"/>
  <c r="Z63" i="2"/>
  <c r="Y63" i="2"/>
  <c r="X63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AJ61" i="2"/>
  <c r="AI61" i="2"/>
  <c r="AH61" i="2"/>
  <c r="AE61" i="2"/>
  <c r="AD61" i="2"/>
  <c r="AC61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AJ34" i="2"/>
  <c r="AI34" i="2"/>
  <c r="AH34" i="2"/>
  <c r="AG34" i="2"/>
  <c r="AF34" i="2"/>
  <c r="AE34" i="2"/>
  <c r="AC34" i="2"/>
  <c r="AB34" i="2"/>
  <c r="AA34" i="2"/>
  <c r="Z34" i="2"/>
  <c r="Y34" i="2"/>
  <c r="X34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X24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X21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X17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X14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67" i="2"/>
  <c r="W66" i="2"/>
  <c r="W63" i="2"/>
  <c r="W62" i="2"/>
  <c r="W60" i="2"/>
  <c r="W58" i="2"/>
  <c r="W54" i="2"/>
  <c r="W53" i="2"/>
  <c r="W52" i="2"/>
  <c r="W51" i="2"/>
  <c r="W48" i="2"/>
  <c r="W47" i="2"/>
  <c r="W45" i="2"/>
  <c r="W44" i="2"/>
  <c r="W43" i="2"/>
  <c r="W34" i="2"/>
  <c r="W32" i="2"/>
  <c r="W31" i="2"/>
  <c r="W30" i="2"/>
  <c r="W27" i="2"/>
  <c r="W26" i="2"/>
  <c r="W25" i="2"/>
  <c r="W24" i="2"/>
  <c r="W23" i="2"/>
  <c r="W22" i="2"/>
  <c r="W21" i="2"/>
  <c r="W20" i="2"/>
  <c r="W18" i="2"/>
  <c r="W17" i="2"/>
  <c r="W16" i="2"/>
  <c r="W15" i="2"/>
  <c r="W14" i="2"/>
  <c r="W13" i="2"/>
  <c r="O74" i="2"/>
  <c r="O65" i="2"/>
  <c r="O59" i="2"/>
  <c r="O56" i="2" s="1"/>
  <c r="O50" i="2"/>
  <c r="AH50" i="2" s="1"/>
  <c r="O46" i="2"/>
  <c r="AI46" i="2" s="1"/>
  <c r="O42" i="2"/>
  <c r="AH42" i="2" s="1"/>
  <c r="O24" i="2"/>
  <c r="O21" i="2"/>
  <c r="AI21" i="2" s="1"/>
  <c r="O17" i="2"/>
  <c r="O14" i="2"/>
  <c r="N74" i="2"/>
  <c r="N65" i="2"/>
  <c r="AH65" i="2" s="1"/>
  <c r="N59" i="2"/>
  <c r="N50" i="2"/>
  <c r="N46" i="2"/>
  <c r="AH46" i="2"/>
  <c r="N42" i="2"/>
  <c r="N24" i="2"/>
  <c r="AG24" i="2" s="1"/>
  <c r="N21" i="2"/>
  <c r="N17" i="2"/>
  <c r="N14" i="2"/>
  <c r="M74" i="2"/>
  <c r="M65" i="2"/>
  <c r="M63" i="2"/>
  <c r="AG63" i="2" s="1"/>
  <c r="M61" i="2"/>
  <c r="M59" i="2"/>
  <c r="AF59" i="2" s="1"/>
  <c r="AG59" i="2"/>
  <c r="M50" i="2"/>
  <c r="AG50" i="2" s="1"/>
  <c r="M46" i="2"/>
  <c r="AG46" i="2" s="1"/>
  <c r="M42" i="2"/>
  <c r="AF42" i="2"/>
  <c r="M24" i="2"/>
  <c r="M21" i="2"/>
  <c r="AG21" i="2" s="1"/>
  <c r="M17" i="2"/>
  <c r="M14" i="2"/>
  <c r="M12" i="2"/>
  <c r="M11" i="2"/>
  <c r="M9" i="2" s="1"/>
  <c r="L75" i="2"/>
  <c r="L74" i="2" s="1"/>
  <c r="L65" i="2"/>
  <c r="AE65" i="2" s="1"/>
  <c r="L59" i="2"/>
  <c r="L50" i="2"/>
  <c r="L46" i="2"/>
  <c r="L42" i="2"/>
  <c r="L24" i="2"/>
  <c r="L21" i="2"/>
  <c r="AF21" i="2" s="1"/>
  <c r="L17" i="2"/>
  <c r="AF17" i="2" s="1"/>
  <c r="L14" i="2"/>
  <c r="K75" i="2"/>
  <c r="K74" i="2"/>
  <c r="K65" i="2"/>
  <c r="K59" i="2"/>
  <c r="K56" i="2" s="1"/>
  <c r="K50" i="2"/>
  <c r="K46" i="2"/>
  <c r="AD46" i="2" s="1"/>
  <c r="K42" i="2"/>
  <c r="K24" i="2"/>
  <c r="K21" i="2"/>
  <c r="AE21" i="2" s="1"/>
  <c r="K17" i="2"/>
  <c r="K14" i="2"/>
  <c r="J75" i="2"/>
  <c r="J74" i="2" s="1"/>
  <c r="J65" i="2"/>
  <c r="AC65" i="2" s="1"/>
  <c r="J59" i="2"/>
  <c r="J56" i="2" s="1"/>
  <c r="J50" i="2"/>
  <c r="J40" i="2" s="1"/>
  <c r="J46" i="2"/>
  <c r="J42" i="2"/>
  <c r="AC42" i="2" s="1"/>
  <c r="J24" i="2"/>
  <c r="J21" i="2"/>
  <c r="J17" i="2"/>
  <c r="AC17" i="2" s="1"/>
  <c r="J14" i="2"/>
  <c r="I74" i="2"/>
  <c r="I65" i="2"/>
  <c r="I59" i="2"/>
  <c r="I56" i="2"/>
  <c r="I50" i="2"/>
  <c r="I46" i="2"/>
  <c r="I42" i="2"/>
  <c r="I24" i="2"/>
  <c r="AC24" i="2"/>
  <c r="I21" i="2"/>
  <c r="AB21" i="2" s="1"/>
  <c r="I17" i="2"/>
  <c r="I14" i="2"/>
  <c r="H74" i="2"/>
  <c r="H65" i="2"/>
  <c r="H61" i="2"/>
  <c r="H50" i="2"/>
  <c r="H46" i="2"/>
  <c r="H40" i="2" s="1"/>
  <c r="H42" i="2"/>
  <c r="AB42" i="2" s="1"/>
  <c r="H24" i="2"/>
  <c r="H21" i="2"/>
  <c r="H17" i="2"/>
  <c r="AA17" i="2" s="1"/>
  <c r="H14" i="2"/>
  <c r="G74" i="2"/>
  <c r="G65" i="2"/>
  <c r="G61" i="2"/>
  <c r="Z61" i="2"/>
  <c r="G50" i="2"/>
  <c r="G46" i="2"/>
  <c r="Z46" i="2" s="1"/>
  <c r="G42" i="2"/>
  <c r="G24" i="2"/>
  <c r="G21" i="2"/>
  <c r="Z21" i="2" s="1"/>
  <c r="G17" i="2"/>
  <c r="G14" i="2"/>
  <c r="G12" i="2"/>
  <c r="G11" i="2" s="1"/>
  <c r="G9" i="2" s="1"/>
  <c r="F74" i="2"/>
  <c r="F65" i="2"/>
  <c r="Y65" i="2" s="1"/>
  <c r="F61" i="2"/>
  <c r="F50" i="2"/>
  <c r="F46" i="2"/>
  <c r="F42" i="2"/>
  <c r="F24" i="2"/>
  <c r="Z24" i="2" s="1"/>
  <c r="F21" i="2"/>
  <c r="Y21" i="2" s="1"/>
  <c r="F17" i="2"/>
  <c r="F14" i="2"/>
  <c r="Z14" i="2" s="1"/>
  <c r="E65" i="2"/>
  <c r="E61" i="2"/>
  <c r="Y61" i="2" s="1"/>
  <c r="E50" i="2"/>
  <c r="Y50" i="2" s="1"/>
  <c r="E46" i="2"/>
  <c r="E40" i="2" s="1"/>
  <c r="E42" i="2"/>
  <c r="E12" i="2"/>
  <c r="E11" i="2"/>
  <c r="E9" i="2" s="1"/>
  <c r="D65" i="2"/>
  <c r="W65" i="2"/>
  <c r="D61" i="2"/>
  <c r="D59" i="2"/>
  <c r="D56" i="2"/>
  <c r="D50" i="2"/>
  <c r="W50" i="2" s="1"/>
  <c r="D46" i="2"/>
  <c r="X46" i="2" s="1"/>
  <c r="D42" i="2"/>
  <c r="W42" i="2"/>
  <c r="D12" i="2"/>
  <c r="W12" i="2" s="1"/>
  <c r="D11" i="2"/>
  <c r="W11" i="2" s="1"/>
  <c r="C65" i="2"/>
  <c r="C61" i="2"/>
  <c r="C59" i="2" s="1"/>
  <c r="C56" i="2" s="1"/>
  <c r="C50" i="2"/>
  <c r="C46" i="2"/>
  <c r="W46" i="2" s="1"/>
  <c r="C40" i="2"/>
  <c r="C42" i="2"/>
  <c r="C11" i="2"/>
  <c r="C9" i="2" s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AJ61" i="1"/>
  <c r="AI61" i="1"/>
  <c r="AH61" i="1"/>
  <c r="AG61" i="1"/>
  <c r="AF61" i="1"/>
  <c r="AE61" i="1"/>
  <c r="AD61" i="1"/>
  <c r="AC61" i="1"/>
  <c r="Z61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X24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X21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X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X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9" i="1"/>
  <c r="W67" i="1"/>
  <c r="W66" i="1"/>
  <c r="W63" i="1"/>
  <c r="W62" i="1"/>
  <c r="W60" i="1"/>
  <c r="W58" i="1"/>
  <c r="W54" i="1"/>
  <c r="W53" i="1"/>
  <c r="W52" i="1"/>
  <c r="W51" i="1"/>
  <c r="W48" i="1"/>
  <c r="W47" i="1"/>
  <c r="W45" i="1"/>
  <c r="W44" i="1"/>
  <c r="W43" i="1"/>
  <c r="W34" i="1"/>
  <c r="W32" i="1"/>
  <c r="W31" i="1"/>
  <c r="W30" i="1"/>
  <c r="W27" i="1"/>
  <c r="W26" i="1"/>
  <c r="W25" i="1"/>
  <c r="W24" i="1"/>
  <c r="W23" i="1"/>
  <c r="W22" i="1"/>
  <c r="W20" i="1"/>
  <c r="W18" i="1"/>
  <c r="W17" i="1"/>
  <c r="W16" i="1"/>
  <c r="W15" i="1"/>
  <c r="W14" i="1"/>
  <c r="W13" i="1"/>
  <c r="O74" i="1"/>
  <c r="O65" i="1"/>
  <c r="AH65" i="1" s="1"/>
  <c r="O59" i="1"/>
  <c r="O50" i="1"/>
  <c r="O46" i="1"/>
  <c r="AH46" i="1" s="1"/>
  <c r="O42" i="1"/>
  <c r="O24" i="1"/>
  <c r="O21" i="1"/>
  <c r="O17" i="1"/>
  <c r="O14" i="1"/>
  <c r="N74" i="1"/>
  <c r="N65" i="1"/>
  <c r="AG65" i="1" s="1"/>
  <c r="N59" i="1"/>
  <c r="AH59" i="1" s="1"/>
  <c r="N50" i="1"/>
  <c r="N40" i="1" s="1"/>
  <c r="N46" i="1"/>
  <c r="N42" i="1"/>
  <c r="N24" i="1"/>
  <c r="AG24" i="1" s="1"/>
  <c r="N21" i="1"/>
  <c r="AG21" i="1" s="1"/>
  <c r="N17" i="1"/>
  <c r="AH17" i="1"/>
  <c r="N14" i="1"/>
  <c r="N12" i="1"/>
  <c r="N11" i="1" s="1"/>
  <c r="M74" i="1"/>
  <c r="M65" i="1"/>
  <c r="M59" i="1"/>
  <c r="M56" i="1" s="1"/>
  <c r="M50" i="1"/>
  <c r="M46" i="1"/>
  <c r="M42" i="1"/>
  <c r="AG42" i="1" s="1"/>
  <c r="M24" i="1"/>
  <c r="M21" i="1"/>
  <c r="M17" i="1"/>
  <c r="M14" i="1"/>
  <c r="AF14" i="1" s="1"/>
  <c r="L75" i="1"/>
  <c r="L74" i="1" s="1"/>
  <c r="L65" i="1"/>
  <c r="L59" i="1"/>
  <c r="L56" i="1" s="1"/>
  <c r="L50" i="1"/>
  <c r="AE50" i="1" s="1"/>
  <c r="L46" i="1"/>
  <c r="L42" i="1"/>
  <c r="L24" i="1"/>
  <c r="L21" i="1"/>
  <c r="L17" i="1"/>
  <c r="L14" i="1"/>
  <c r="K75" i="1"/>
  <c r="K74" i="1"/>
  <c r="K65" i="1"/>
  <c r="AD65" i="1" s="1"/>
  <c r="K59" i="1"/>
  <c r="K56" i="1" s="1"/>
  <c r="K50" i="1"/>
  <c r="K46" i="1"/>
  <c r="K40" i="1" s="1"/>
  <c r="K42" i="1"/>
  <c r="K24" i="1"/>
  <c r="K21" i="1"/>
  <c r="K17" i="1"/>
  <c r="K14" i="1"/>
  <c r="J75" i="1"/>
  <c r="J74" i="1" s="1"/>
  <c r="J65" i="1"/>
  <c r="AC65" i="1" s="1"/>
  <c r="J59" i="1"/>
  <c r="J56" i="1" s="1"/>
  <c r="J50" i="1"/>
  <c r="AC50" i="1" s="1"/>
  <c r="J46" i="1"/>
  <c r="J42" i="1"/>
  <c r="J24" i="1"/>
  <c r="J12" i="1" s="1"/>
  <c r="J21" i="1"/>
  <c r="J17" i="1"/>
  <c r="J14" i="1"/>
  <c r="I74" i="1"/>
  <c r="I65" i="1"/>
  <c r="I59" i="1"/>
  <c r="I56" i="1" s="1"/>
  <c r="I50" i="1"/>
  <c r="I46" i="1"/>
  <c r="I42" i="1"/>
  <c r="AB42" i="1" s="1"/>
  <c r="I24" i="1"/>
  <c r="I21" i="1"/>
  <c r="I17" i="1"/>
  <c r="AC17" i="1" s="1"/>
  <c r="I14" i="1"/>
  <c r="H74" i="1"/>
  <c r="H65" i="1"/>
  <c r="H61" i="1"/>
  <c r="AB61" i="1" s="1"/>
  <c r="H50" i="1"/>
  <c r="H46" i="1"/>
  <c r="H40" i="1" s="1"/>
  <c r="H42" i="1"/>
  <c r="H24" i="1"/>
  <c r="H21" i="1"/>
  <c r="AA21" i="1" s="1"/>
  <c r="H17" i="1"/>
  <c r="H14" i="1"/>
  <c r="AA14" i="1" s="1"/>
  <c r="G74" i="1"/>
  <c r="G65" i="1"/>
  <c r="G59" i="1"/>
  <c r="G56" i="1" s="1"/>
  <c r="G50" i="1"/>
  <c r="Z50" i="1"/>
  <c r="G46" i="1"/>
  <c r="G40" i="1"/>
  <c r="G36" i="1" s="1"/>
  <c r="G38" i="1" s="1"/>
  <c r="G42" i="1"/>
  <c r="Z42" i="1" s="1"/>
  <c r="G24" i="1"/>
  <c r="G21" i="1"/>
  <c r="G17" i="1"/>
  <c r="Z17" i="1" s="1"/>
  <c r="G14" i="1"/>
  <c r="F74" i="1"/>
  <c r="F65" i="1"/>
  <c r="Z65" i="1" s="1"/>
  <c r="F59" i="1"/>
  <c r="F56" i="1" s="1"/>
  <c r="F50" i="1"/>
  <c r="F46" i="1"/>
  <c r="F42" i="1"/>
  <c r="Y42" i="1" s="1"/>
  <c r="F24" i="1"/>
  <c r="Y24" i="1" s="1"/>
  <c r="F21" i="1"/>
  <c r="F17" i="1"/>
  <c r="Y17" i="1" s="1"/>
  <c r="F14" i="1"/>
  <c r="Y14" i="1" s="1"/>
  <c r="E65" i="1"/>
  <c r="E61" i="1"/>
  <c r="E59" i="1" s="1"/>
  <c r="Y61" i="1"/>
  <c r="E50" i="1"/>
  <c r="X50" i="1" s="1"/>
  <c r="E46" i="1"/>
  <c r="E40" i="1" s="1"/>
  <c r="X40" i="1" s="1"/>
  <c r="E42" i="1"/>
  <c r="X42" i="1" s="1"/>
  <c r="E12" i="1"/>
  <c r="E11" i="1" s="1"/>
  <c r="D65" i="1"/>
  <c r="W65" i="1" s="1"/>
  <c r="D61" i="1"/>
  <c r="D59" i="1" s="1"/>
  <c r="D50" i="1"/>
  <c r="W50" i="1" s="1"/>
  <c r="D46" i="1"/>
  <c r="D40" i="1" s="1"/>
  <c r="W40" i="1" s="1"/>
  <c r="D42" i="1"/>
  <c r="D12" i="1"/>
  <c r="W12" i="1" s="1"/>
  <c r="C65" i="1"/>
  <c r="C61" i="1"/>
  <c r="C59" i="1"/>
  <c r="C50" i="1"/>
  <c r="C46" i="1"/>
  <c r="C42" i="1"/>
  <c r="W42" i="1" s="1"/>
  <c r="C12" i="1"/>
  <c r="C11" i="1"/>
  <c r="C9" i="1" s="1"/>
  <c r="P75" i="2"/>
  <c r="P74" i="2"/>
  <c r="P75" i="1"/>
  <c r="P74" i="1" s="1"/>
  <c r="P65" i="1"/>
  <c r="P65" i="2"/>
  <c r="AI65" i="2"/>
  <c r="P59" i="2"/>
  <c r="P56" i="2" s="1"/>
  <c r="P50" i="2"/>
  <c r="AI50" i="2"/>
  <c r="P46" i="2"/>
  <c r="P40" i="2" s="1"/>
  <c r="P42" i="2"/>
  <c r="AI42" i="2"/>
  <c r="P24" i="2"/>
  <c r="P21" i="2"/>
  <c r="P17" i="2"/>
  <c r="P12" i="2" s="1"/>
  <c r="P11" i="2" s="1"/>
  <c r="P14" i="2"/>
  <c r="AI14" i="2" s="1"/>
  <c r="P59" i="1"/>
  <c r="P56" i="1"/>
  <c r="P50" i="1"/>
  <c r="AI50" i="1" s="1"/>
  <c r="P46" i="1"/>
  <c r="P42" i="1"/>
  <c r="AI42" i="1" s="1"/>
  <c r="P14" i="1"/>
  <c r="P12" i="1" s="1"/>
  <c r="P24" i="1"/>
  <c r="AI24" i="1"/>
  <c r="P21" i="1"/>
  <c r="AI21" i="1"/>
  <c r="P17" i="1"/>
  <c r="Q74" i="1"/>
  <c r="Q65" i="1"/>
  <c r="AK65" i="1" s="1"/>
  <c r="Q59" i="1"/>
  <c r="AJ59" i="1" s="1"/>
  <c r="Q50" i="1"/>
  <c r="AJ50" i="1" s="1"/>
  <c r="Q40" i="1"/>
  <c r="AJ40" i="1" s="1"/>
  <c r="Q46" i="1"/>
  <c r="Q42" i="1"/>
  <c r="AJ42" i="1" s="1"/>
  <c r="Q24" i="1"/>
  <c r="AK24" i="1" s="1"/>
  <c r="Q21" i="1"/>
  <c r="AK21" i="1" s="1"/>
  <c r="Q17" i="1"/>
  <c r="Q14" i="1"/>
  <c r="AJ14" i="1" s="1"/>
  <c r="Q74" i="2"/>
  <c r="Q65" i="2"/>
  <c r="Q59" i="2"/>
  <c r="Q50" i="2"/>
  <c r="AK50" i="2" s="1"/>
  <c r="Q46" i="2"/>
  <c r="AK46" i="2" s="1"/>
  <c r="Q42" i="2"/>
  <c r="AJ42" i="2" s="1"/>
  <c r="Q24" i="2"/>
  <c r="Q21" i="2"/>
  <c r="AK21" i="2" s="1"/>
  <c r="Q17" i="2"/>
  <c r="Q14" i="2"/>
  <c r="AJ14" i="2" s="1"/>
  <c r="AF63" i="2"/>
  <c r="L40" i="2"/>
  <c r="AG65" i="2"/>
  <c r="AD24" i="2"/>
  <c r="AF14" i="2"/>
  <c r="AD17" i="2"/>
  <c r="AF24" i="2"/>
  <c r="F59" i="2"/>
  <c r="Y59" i="2" s="1"/>
  <c r="AH21" i="1"/>
  <c r="C40" i="1"/>
  <c r="C36" i="1" s="1"/>
  <c r="C38" i="1" s="1"/>
  <c r="Z59" i="1"/>
  <c r="AK42" i="1"/>
  <c r="Y42" i="2"/>
  <c r="AG17" i="2"/>
  <c r="AK24" i="2"/>
  <c r="AB65" i="2"/>
  <c r="X12" i="2"/>
  <c r="AE14" i="2"/>
  <c r="AL24" i="2"/>
  <c r="G59" i="2"/>
  <c r="G56" i="2" s="1"/>
  <c r="H59" i="2"/>
  <c r="AB59" i="2" s="1"/>
  <c r="AA61" i="2"/>
  <c r="AB61" i="2"/>
  <c r="X42" i="2"/>
  <c r="AG50" i="1"/>
  <c r="O56" i="1"/>
  <c r="AI59" i="1"/>
  <c r="N56" i="2"/>
  <c r="AH59" i="2"/>
  <c r="Y24" i="2"/>
  <c r="AL14" i="1"/>
  <c r="AG14" i="2"/>
  <c r="AA65" i="1"/>
  <c r="AG46" i="1"/>
  <c r="S56" i="1"/>
  <c r="AC59" i="1"/>
  <c r="AH14" i="1"/>
  <c r="AL42" i="1"/>
  <c r="AM21" i="1"/>
  <c r="AA46" i="1"/>
  <c r="AL21" i="1"/>
  <c r="AG17" i="1"/>
  <c r="T12" i="2"/>
  <c r="T11" i="2" s="1"/>
  <c r="T9" i="2" s="1"/>
  <c r="AM50" i="1"/>
  <c r="E59" i="2"/>
  <c r="E56" i="2" s="1"/>
  <c r="X59" i="2"/>
  <c r="AG61" i="2"/>
  <c r="Z50" i="2"/>
  <c r="Y46" i="2"/>
  <c r="AF61" i="2"/>
  <c r="Q56" i="2"/>
  <c r="AH14" i="2"/>
  <c r="AM17" i="2"/>
  <c r="AJ24" i="2"/>
  <c r="AD59" i="2"/>
  <c r="AM50" i="2"/>
  <c r="AF46" i="1"/>
  <c r="Y46" i="1"/>
  <c r="AF17" i="1"/>
  <c r="W61" i="1"/>
  <c r="AM14" i="1"/>
  <c r="C56" i="1"/>
  <c r="O12" i="1"/>
  <c r="AH12" i="1" s="1"/>
  <c r="I40" i="1"/>
  <c r="AA50" i="1"/>
  <c r="AE42" i="1"/>
  <c r="Q56" i="1"/>
  <c r="AD59" i="1"/>
  <c r="AM65" i="1"/>
  <c r="X61" i="1"/>
  <c r="T40" i="1"/>
  <c r="T36" i="1" s="1"/>
  <c r="AE24" i="1"/>
  <c r="AG14" i="1"/>
  <c r="AB46" i="1"/>
  <c r="AL65" i="1"/>
  <c r="AC14" i="1"/>
  <c r="AB50" i="1"/>
  <c r="AC21" i="1"/>
  <c r="AM59" i="1"/>
  <c r="AJ59" i="2"/>
  <c r="AJ65" i="2"/>
  <c r="AB17" i="2"/>
  <c r="Z42" i="2"/>
  <c r="I40" i="2"/>
  <c r="AB50" i="2"/>
  <c r="AC59" i="2"/>
  <c r="AE46" i="2"/>
  <c r="AC50" i="2"/>
  <c r="AI59" i="2"/>
  <c r="AB14" i="2"/>
  <c r="AB46" i="2"/>
  <c r="N40" i="2"/>
  <c r="L56" i="2"/>
  <c r="AG42" i="2"/>
  <c r="F40" i="2"/>
  <c r="H56" i="2"/>
  <c r="AA56" i="2" s="1"/>
  <c r="I36" i="2"/>
  <c r="I38" i="2" s="1"/>
  <c r="AB56" i="2"/>
  <c r="AJ65" i="1"/>
  <c r="F40" i="1"/>
  <c r="Z40" i="1" s="1"/>
  <c r="P40" i="1"/>
  <c r="P36" i="1" s="1"/>
  <c r="P38" i="1" s="1"/>
  <c r="AJ21" i="1"/>
  <c r="Z46" i="1"/>
  <c r="AD42" i="1"/>
  <c r="AI17" i="1"/>
  <c r="AA61" i="1"/>
  <c r="H59" i="1"/>
  <c r="H56" i="1" s="1"/>
  <c r="AA56" i="1" s="1"/>
  <c r="AJ56" i="1"/>
  <c r="AK46" i="1"/>
  <c r="AK50" i="1"/>
  <c r="AN46" i="1"/>
  <c r="U40" i="2"/>
  <c r="U36" i="2" s="1"/>
  <c r="AN14" i="1"/>
  <c r="U40" i="1"/>
  <c r="AN21" i="1"/>
  <c r="E10" i="4" l="1"/>
  <c r="G12" i="4"/>
  <c r="L12" i="4"/>
  <c r="V36" i="2"/>
  <c r="AO59" i="2"/>
  <c r="V56" i="1"/>
  <c r="V40" i="1"/>
  <c r="AO40" i="1" s="1"/>
  <c r="H36" i="2"/>
  <c r="AB40" i="2"/>
  <c r="D56" i="1"/>
  <c r="W56" i="1" s="1"/>
  <c r="W59" i="1"/>
  <c r="AI12" i="1"/>
  <c r="P11" i="1"/>
  <c r="Z56" i="2"/>
  <c r="AK12" i="2"/>
  <c r="R11" i="2"/>
  <c r="R9" i="2" s="1"/>
  <c r="W59" i="2"/>
  <c r="AO42" i="1"/>
  <c r="AK59" i="1"/>
  <c r="AC40" i="2"/>
  <c r="W46" i="1"/>
  <c r="X46" i="1"/>
  <c r="AI14" i="1"/>
  <c r="AI17" i="2"/>
  <c r="O40" i="2"/>
  <c r="AH40" i="2" s="1"/>
  <c r="G12" i="1"/>
  <c r="AA17" i="1"/>
  <c r="AB21" i="1"/>
  <c r="AC42" i="1"/>
  <c r="AF65" i="1"/>
  <c r="Z17" i="2"/>
  <c r="AA14" i="2"/>
  <c r="AC14" i="2"/>
  <c r="K12" i="2"/>
  <c r="M40" i="2"/>
  <c r="AG40" i="2" s="1"/>
  <c r="AI24" i="2"/>
  <c r="AL17" i="2"/>
  <c r="AM46" i="2"/>
  <c r="U12" i="2"/>
  <c r="AN12" i="2" s="1"/>
  <c r="Z24" i="1"/>
  <c r="X65" i="1"/>
  <c r="AD50" i="1"/>
  <c r="AK14" i="2"/>
  <c r="W61" i="2"/>
  <c r="F12" i="1"/>
  <c r="AA24" i="1"/>
  <c r="AB24" i="1"/>
  <c r="J40" i="1"/>
  <c r="AE65" i="1"/>
  <c r="D9" i="2"/>
  <c r="W9" i="2" s="1"/>
  <c r="AM24" i="1"/>
  <c r="AO46" i="2"/>
  <c r="AK42" i="2"/>
  <c r="AD21" i="2"/>
  <c r="AM14" i="2"/>
  <c r="Q12" i="2"/>
  <c r="AJ12" i="2" s="1"/>
  <c r="AJ46" i="1"/>
  <c r="AA42" i="1"/>
  <c r="H12" i="2"/>
  <c r="AA12" i="2" s="1"/>
  <c r="AO46" i="1"/>
  <c r="AA59" i="1"/>
  <c r="Q12" i="1"/>
  <c r="AK14" i="1"/>
  <c r="AJ21" i="2"/>
  <c r="AA24" i="2"/>
  <c r="AB24" i="2"/>
  <c r="AD42" i="2"/>
  <c r="S40" i="2"/>
  <c r="AM56" i="1"/>
  <c r="AO50" i="2"/>
  <c r="Z59" i="2"/>
  <c r="F56" i="2"/>
  <c r="F36" i="2" s="1"/>
  <c r="AF59" i="1"/>
  <c r="AF65" i="2"/>
  <c r="AI56" i="1"/>
  <c r="Y50" i="1"/>
  <c r="AE14" i="1"/>
  <c r="AC46" i="2"/>
  <c r="AE24" i="2"/>
  <c r="S12" i="2"/>
  <c r="O11" i="1"/>
  <c r="O9" i="1" s="1"/>
  <c r="T12" i="1"/>
  <c r="T11" i="1" s="1"/>
  <c r="AL59" i="1"/>
  <c r="AB59" i="1"/>
  <c r="AN17" i="1"/>
  <c r="AE17" i="2"/>
  <c r="M12" i="1"/>
  <c r="M11" i="1" s="1"/>
  <c r="H12" i="1"/>
  <c r="H11" i="1" s="1"/>
  <c r="H9" i="1" s="1"/>
  <c r="AC21" i="2"/>
  <c r="AL42" i="2"/>
  <c r="AF46" i="2"/>
  <c r="AB65" i="1"/>
  <c r="AD14" i="1"/>
  <c r="AF21" i="1"/>
  <c r="AH24" i="1"/>
  <c r="K40" i="2"/>
  <c r="K36" i="2" s="1"/>
  <c r="S12" i="1"/>
  <c r="S11" i="1" s="1"/>
  <c r="AN24" i="2"/>
  <c r="X11" i="2"/>
  <c r="AC24" i="1"/>
  <c r="AE40" i="2"/>
  <c r="AI65" i="1"/>
  <c r="K12" i="1"/>
  <c r="AE21" i="1"/>
  <c r="AF24" i="1"/>
  <c r="AH42" i="1"/>
  <c r="AA50" i="2"/>
  <c r="AD50" i="2"/>
  <c r="AK17" i="1"/>
  <c r="U12" i="1"/>
  <c r="U11" i="1" s="1"/>
  <c r="AD24" i="1"/>
  <c r="O40" i="1"/>
  <c r="O36" i="1" s="1"/>
  <c r="X65" i="2"/>
  <c r="AE59" i="2"/>
  <c r="AH17" i="2"/>
  <c r="AL24" i="1"/>
  <c r="AN21" i="2"/>
  <c r="AG59" i="1"/>
  <c r="Y40" i="2"/>
  <c r="AA59" i="2"/>
  <c r="AJ17" i="1"/>
  <c r="AJ24" i="1"/>
  <c r="L36" i="2"/>
  <c r="L38" i="2" s="1"/>
  <c r="Z14" i="1"/>
  <c r="AJ17" i="2"/>
  <c r="AB14" i="1"/>
  <c r="AD21" i="1"/>
  <c r="L40" i="1"/>
  <c r="AF50" i="1"/>
  <c r="Y14" i="2"/>
  <c r="AA65" i="2"/>
  <c r="AH21" i="2"/>
  <c r="AM42" i="1"/>
  <c r="AN65" i="2"/>
  <c r="V12" i="2"/>
  <c r="H38" i="2"/>
  <c r="AB38" i="2" s="1"/>
  <c r="AB36" i="2"/>
  <c r="AD40" i="2"/>
  <c r="U38" i="2"/>
  <c r="S11" i="2"/>
  <c r="AL12" i="2"/>
  <c r="AM12" i="2"/>
  <c r="AE56" i="2"/>
  <c r="AD56" i="2"/>
  <c r="Y56" i="2"/>
  <c r="X56" i="2"/>
  <c r="E36" i="2"/>
  <c r="E71" i="2" s="1"/>
  <c r="C36" i="2"/>
  <c r="W56" i="2"/>
  <c r="AD12" i="2"/>
  <c r="K11" i="2"/>
  <c r="M36" i="2"/>
  <c r="M71" i="2" s="1"/>
  <c r="U11" i="2"/>
  <c r="P36" i="2"/>
  <c r="Y36" i="2"/>
  <c r="AC56" i="2"/>
  <c r="J36" i="2"/>
  <c r="H11" i="2"/>
  <c r="P9" i="2"/>
  <c r="AJ56" i="2"/>
  <c r="AI56" i="2"/>
  <c r="AH56" i="2"/>
  <c r="AL40" i="2"/>
  <c r="S36" i="2"/>
  <c r="AK59" i="2"/>
  <c r="AD14" i="2"/>
  <c r="AA42" i="2"/>
  <c r="N36" i="2"/>
  <c r="M56" i="2"/>
  <c r="N12" i="2"/>
  <c r="O12" i="2"/>
  <c r="AI12" i="2" s="1"/>
  <c r="T40" i="2"/>
  <c r="AN40" i="2" s="1"/>
  <c r="AJ50" i="2"/>
  <c r="X50" i="2"/>
  <c r="R56" i="2"/>
  <c r="Q11" i="2"/>
  <c r="AA46" i="2"/>
  <c r="AM59" i="2"/>
  <c r="L12" i="2"/>
  <c r="AF12" i="2" s="1"/>
  <c r="D40" i="2"/>
  <c r="AF50" i="2"/>
  <c r="X9" i="2"/>
  <c r="AH24" i="2"/>
  <c r="T56" i="2"/>
  <c r="AM56" i="2" s="1"/>
  <c r="J12" i="2"/>
  <c r="AA21" i="2"/>
  <c r="AE50" i="2"/>
  <c r="Y17" i="2"/>
  <c r="AD65" i="2"/>
  <c r="AK17" i="2"/>
  <c r="G40" i="2"/>
  <c r="AA40" i="2" s="1"/>
  <c r="I12" i="2"/>
  <c r="AF40" i="2"/>
  <c r="Q40" i="2"/>
  <c r="AL21" i="2"/>
  <c r="Z65" i="2"/>
  <c r="AL65" i="2"/>
  <c r="AN14" i="2"/>
  <c r="AJ46" i="2"/>
  <c r="AE42" i="2"/>
  <c r="F38" i="2"/>
  <c r="F12" i="2"/>
  <c r="Z12" i="2" s="1"/>
  <c r="X61" i="2"/>
  <c r="V12" i="1"/>
  <c r="T9" i="1"/>
  <c r="AA40" i="1"/>
  <c r="AB40" i="1"/>
  <c r="H36" i="1"/>
  <c r="I36" i="1"/>
  <c r="AB56" i="1"/>
  <c r="M9" i="1"/>
  <c r="K11" i="1"/>
  <c r="AD12" i="1"/>
  <c r="E56" i="1"/>
  <c r="X56" i="1" s="1"/>
  <c r="Y59" i="1"/>
  <c r="X59" i="1"/>
  <c r="AI40" i="1"/>
  <c r="AH40" i="1"/>
  <c r="AN12" i="1"/>
  <c r="Z56" i="1"/>
  <c r="F36" i="1"/>
  <c r="T38" i="1"/>
  <c r="L36" i="1"/>
  <c r="AE40" i="1"/>
  <c r="C69" i="1"/>
  <c r="C70" i="1" s="1"/>
  <c r="C71" i="1"/>
  <c r="C72" i="1" s="1"/>
  <c r="J11" i="1"/>
  <c r="AF56" i="1"/>
  <c r="AA12" i="1"/>
  <c r="G11" i="1"/>
  <c r="Z12" i="1"/>
  <c r="AE56" i="1"/>
  <c r="Y12" i="1"/>
  <c r="F11" i="1"/>
  <c r="J36" i="1"/>
  <c r="AC40" i="1"/>
  <c r="AD40" i="1"/>
  <c r="AD56" i="1"/>
  <c r="K36" i="1"/>
  <c r="AH11" i="1"/>
  <c r="N9" i="1"/>
  <c r="AG11" i="1"/>
  <c r="S36" i="1"/>
  <c r="AM40" i="1"/>
  <c r="AL40" i="1"/>
  <c r="E9" i="1"/>
  <c r="AC56" i="1"/>
  <c r="AL56" i="1"/>
  <c r="AK56" i="1"/>
  <c r="Q36" i="1"/>
  <c r="AG12" i="1"/>
  <c r="D11" i="1"/>
  <c r="X11" i="1" s="1"/>
  <c r="Y21" i="1"/>
  <c r="Y65" i="1"/>
  <c r="AB17" i="1"/>
  <c r="AC46" i="1"/>
  <c r="AD17" i="1"/>
  <c r="AE59" i="1"/>
  <c r="N56" i="1"/>
  <c r="AM46" i="1"/>
  <c r="U56" i="1"/>
  <c r="R12" i="1"/>
  <c r="L12" i="1"/>
  <c r="AF12" i="1" s="1"/>
  <c r="AF42" i="1"/>
  <c r="I12" i="1"/>
  <c r="Z21" i="1"/>
  <c r="AD46" i="1"/>
  <c r="R36" i="1"/>
  <c r="AE17" i="1"/>
  <c r="AH50" i="1"/>
  <c r="AN24" i="1"/>
  <c r="AL17" i="1"/>
  <c r="AE46" i="1"/>
  <c r="M40" i="1"/>
  <c r="X12" i="1"/>
  <c r="AI46" i="1"/>
  <c r="AL46" i="1"/>
  <c r="AN40" i="1"/>
  <c r="Y40" i="1"/>
  <c r="D36" i="1"/>
  <c r="E9" i="4" l="1"/>
  <c r="G9" i="4" s="1"/>
  <c r="G10" i="4"/>
  <c r="L10" i="4"/>
  <c r="N12" i="4"/>
  <c r="V36" i="1"/>
  <c r="V38" i="1" s="1"/>
  <c r="V11" i="1"/>
  <c r="AO12" i="1"/>
  <c r="O36" i="2"/>
  <c r="V11" i="2"/>
  <c r="AO12" i="2"/>
  <c r="AI40" i="2"/>
  <c r="V38" i="2"/>
  <c r="AO38" i="2" s="1"/>
  <c r="AO36" i="2"/>
  <c r="AJ12" i="1"/>
  <c r="Q11" i="1"/>
  <c r="AN56" i="2"/>
  <c r="Y56" i="1"/>
  <c r="P9" i="1"/>
  <c r="AI11" i="1"/>
  <c r="AL12" i="1"/>
  <c r="AM12" i="1"/>
  <c r="AE36" i="2"/>
  <c r="AN56" i="1"/>
  <c r="AO56" i="1"/>
  <c r="AK11" i="2"/>
  <c r="M72" i="2"/>
  <c r="P71" i="2"/>
  <c r="E72" i="2"/>
  <c r="AK40" i="2"/>
  <c r="Q36" i="2"/>
  <c r="AJ40" i="2"/>
  <c r="J11" i="2"/>
  <c r="AD11" i="2" s="1"/>
  <c r="AC12" i="2"/>
  <c r="Q9" i="2"/>
  <c r="AJ11" i="2"/>
  <c r="P38" i="2"/>
  <c r="AI36" i="2"/>
  <c r="AL11" i="2"/>
  <c r="S9" i="2"/>
  <c r="Y12" i="2"/>
  <c r="F11" i="2"/>
  <c r="S38" i="2"/>
  <c r="H9" i="2"/>
  <c r="AA11" i="2"/>
  <c r="K9" i="2"/>
  <c r="T36" i="2"/>
  <c r="AM40" i="2"/>
  <c r="E38" i="2"/>
  <c r="Y38" i="2" s="1"/>
  <c r="K38" i="2"/>
  <c r="AD36" i="2"/>
  <c r="AB12" i="2"/>
  <c r="I11" i="2"/>
  <c r="O11" i="2"/>
  <c r="AH12" i="2"/>
  <c r="AC36" i="2"/>
  <c r="J38" i="2"/>
  <c r="AC38" i="2" s="1"/>
  <c r="R36" i="2"/>
  <c r="AL36" i="2" s="1"/>
  <c r="AL56" i="2"/>
  <c r="AK56" i="2"/>
  <c r="C38" i="2"/>
  <c r="C69" i="2" s="1"/>
  <c r="C70" i="2" s="1"/>
  <c r="C71" i="2"/>
  <c r="C72" i="2" s="1"/>
  <c r="AM11" i="2"/>
  <c r="X40" i="2"/>
  <c r="D36" i="2"/>
  <c r="W40" i="2"/>
  <c r="AG12" i="2"/>
  <c r="N11" i="2"/>
  <c r="O38" i="2"/>
  <c r="AH36" i="2"/>
  <c r="N38" i="2"/>
  <c r="AG36" i="2"/>
  <c r="M38" i="2"/>
  <c r="AF36" i="2"/>
  <c r="G36" i="2"/>
  <c r="Z40" i="2"/>
  <c r="L11" i="2"/>
  <c r="AE12" i="2"/>
  <c r="AG56" i="2"/>
  <c r="AF56" i="2"/>
  <c r="AN11" i="2"/>
  <c r="U9" i="2"/>
  <c r="F9" i="1"/>
  <c r="Y11" i="1"/>
  <c r="K9" i="1"/>
  <c r="AD11" i="1"/>
  <c r="O38" i="1"/>
  <c r="AI36" i="1"/>
  <c r="H71" i="1"/>
  <c r="H38" i="1"/>
  <c r="AA36" i="1"/>
  <c r="S38" i="1"/>
  <c r="AL38" i="1" s="1"/>
  <c r="AL36" i="1"/>
  <c r="M36" i="1"/>
  <c r="AG40" i="1"/>
  <c r="AF40" i="1"/>
  <c r="AJ36" i="1"/>
  <c r="Q38" i="1"/>
  <c r="AB12" i="1"/>
  <c r="I11" i="1"/>
  <c r="AC11" i="1" s="1"/>
  <c r="AG9" i="1"/>
  <c r="L11" i="1"/>
  <c r="AE12" i="1"/>
  <c r="S9" i="1"/>
  <c r="AB36" i="1"/>
  <c r="I38" i="1"/>
  <c r="AH9" i="1"/>
  <c r="AG56" i="1"/>
  <c r="N36" i="1"/>
  <c r="AC12" i="1"/>
  <c r="D38" i="1"/>
  <c r="W38" i="1" s="1"/>
  <c r="W36" i="1"/>
  <c r="AK36" i="1"/>
  <c r="R38" i="1"/>
  <c r="J9" i="1"/>
  <c r="AH56" i="1"/>
  <c r="W11" i="1"/>
  <c r="D9" i="1"/>
  <c r="R11" i="1"/>
  <c r="AL11" i="1" s="1"/>
  <c r="AK12" i="1"/>
  <c r="AM36" i="1"/>
  <c r="AA11" i="1"/>
  <c r="G9" i="1"/>
  <c r="Z11" i="1"/>
  <c r="O71" i="1"/>
  <c r="E36" i="1"/>
  <c r="K38" i="1"/>
  <c r="AD36" i="1"/>
  <c r="E71" i="1"/>
  <c r="Y36" i="1"/>
  <c r="F38" i="1"/>
  <c r="Z36" i="1"/>
  <c r="U9" i="1"/>
  <c r="AN11" i="1"/>
  <c r="T71" i="1"/>
  <c r="T69" i="1"/>
  <c r="L38" i="1"/>
  <c r="AE36" i="1"/>
  <c r="AC36" i="1"/>
  <c r="J38" i="1"/>
  <c r="U36" i="1"/>
  <c r="AM11" i="1"/>
  <c r="L9" i="4" l="1"/>
  <c r="N9" i="4" s="1"/>
  <c r="N10" i="4"/>
  <c r="AO36" i="1"/>
  <c r="AC38" i="1"/>
  <c r="AE38" i="1"/>
  <c r="Q9" i="1"/>
  <c r="AJ11" i="1"/>
  <c r="V9" i="2"/>
  <c r="AO11" i="2"/>
  <c r="P71" i="1"/>
  <c r="P72" i="1" s="1"/>
  <c r="P69" i="1"/>
  <c r="P70" i="1" s="1"/>
  <c r="AI9" i="1"/>
  <c r="V9" i="1"/>
  <c r="AO11" i="1"/>
  <c r="H69" i="2"/>
  <c r="H71" i="2"/>
  <c r="AA9" i="2"/>
  <c r="AN9" i="2"/>
  <c r="U71" i="2"/>
  <c r="U69" i="2"/>
  <c r="O9" i="2"/>
  <c r="AH11" i="2"/>
  <c r="AI11" i="2"/>
  <c r="AD38" i="2"/>
  <c r="AE38" i="2"/>
  <c r="E69" i="2"/>
  <c r="S69" i="2"/>
  <c r="AL9" i="2"/>
  <c r="S71" i="2"/>
  <c r="AM9" i="2"/>
  <c r="AH38" i="2"/>
  <c r="R38" i="2"/>
  <c r="AK36" i="2"/>
  <c r="R71" i="2"/>
  <c r="T38" i="2"/>
  <c r="AM36" i="2"/>
  <c r="AN36" i="2"/>
  <c r="T71" i="2"/>
  <c r="P72" i="2"/>
  <c r="D71" i="2"/>
  <c r="D38" i="2"/>
  <c r="W36" i="2"/>
  <c r="Z36" i="2"/>
  <c r="G38" i="2"/>
  <c r="AA36" i="2"/>
  <c r="G71" i="2"/>
  <c r="F9" i="2"/>
  <c r="Y11" i="2"/>
  <c r="Z11" i="2"/>
  <c r="AG11" i="2"/>
  <c r="N9" i="2"/>
  <c r="AI38" i="2"/>
  <c r="P69" i="2"/>
  <c r="AB11" i="2"/>
  <c r="I9" i="2"/>
  <c r="Q38" i="2"/>
  <c r="AJ38" i="2" s="1"/>
  <c r="AJ36" i="2"/>
  <c r="X36" i="2"/>
  <c r="AD9" i="2"/>
  <c r="K71" i="2"/>
  <c r="K69" i="2"/>
  <c r="AC11" i="2"/>
  <c r="J9" i="2"/>
  <c r="AF38" i="2"/>
  <c r="M69" i="2"/>
  <c r="AG38" i="2"/>
  <c r="AE11" i="2"/>
  <c r="L9" i="2"/>
  <c r="AF11" i="2"/>
  <c r="Q71" i="2"/>
  <c r="AJ9" i="2"/>
  <c r="AK9" i="2"/>
  <c r="N38" i="1"/>
  <c r="AH38" i="1" s="1"/>
  <c r="AG36" i="1"/>
  <c r="E72" i="1"/>
  <c r="AA38" i="1"/>
  <c r="H69" i="1"/>
  <c r="W9" i="1"/>
  <c r="D71" i="1"/>
  <c r="D69" i="1"/>
  <c r="AI38" i="1"/>
  <c r="O69" i="1"/>
  <c r="S69" i="1"/>
  <c r="AM69" i="1" s="1"/>
  <c r="S71" i="1"/>
  <c r="AM71" i="1" s="1"/>
  <c r="AI71" i="1"/>
  <c r="O72" i="1"/>
  <c r="AK38" i="1"/>
  <c r="N71" i="1"/>
  <c r="AH71" i="1" s="1"/>
  <c r="AB11" i="1"/>
  <c r="I9" i="1"/>
  <c r="AD38" i="1"/>
  <c r="AJ38" i="1"/>
  <c r="Q69" i="1"/>
  <c r="AM38" i="1"/>
  <c r="K71" i="1"/>
  <c r="AD9" i="1"/>
  <c r="K69" i="1"/>
  <c r="AB38" i="1"/>
  <c r="T70" i="1"/>
  <c r="AM9" i="1"/>
  <c r="T72" i="1"/>
  <c r="Y38" i="1"/>
  <c r="Z38" i="1"/>
  <c r="R9" i="1"/>
  <c r="AK11" i="1"/>
  <c r="H72" i="1"/>
  <c r="X9" i="1"/>
  <c r="AH36" i="1"/>
  <c r="X36" i="1"/>
  <c r="E38" i="1"/>
  <c r="J69" i="1"/>
  <c r="J71" i="1"/>
  <c r="AC9" i="1"/>
  <c r="AE11" i="1"/>
  <c r="L9" i="1"/>
  <c r="AF11" i="1"/>
  <c r="U71" i="1"/>
  <c r="AN9" i="1"/>
  <c r="AA9" i="1"/>
  <c r="G71" i="1"/>
  <c r="Z9" i="1"/>
  <c r="G69" i="1"/>
  <c r="M38" i="1"/>
  <c r="AF36" i="1"/>
  <c r="AN36" i="1"/>
  <c r="U38" i="1"/>
  <c r="AN38" i="1" s="1"/>
  <c r="M71" i="1"/>
  <c r="Y9" i="1"/>
  <c r="F71" i="1"/>
  <c r="F69" i="1"/>
  <c r="AO9" i="1" l="1"/>
  <c r="V71" i="1"/>
  <c r="V69" i="1"/>
  <c r="AJ9" i="1"/>
  <c r="Q71" i="1"/>
  <c r="AO38" i="1"/>
  <c r="AO9" i="2"/>
  <c r="V71" i="2"/>
  <c r="V69" i="2"/>
  <c r="AH9" i="2"/>
  <c r="O69" i="2"/>
  <c r="AI69" i="2" s="1"/>
  <c r="O71" i="2"/>
  <c r="AI9" i="2"/>
  <c r="Y9" i="2"/>
  <c r="F69" i="2"/>
  <c r="F71" i="2"/>
  <c r="Z9" i="2"/>
  <c r="AN69" i="2"/>
  <c r="U70" i="2"/>
  <c r="Z38" i="2"/>
  <c r="G69" i="2"/>
  <c r="AA38" i="2"/>
  <c r="I71" i="2"/>
  <c r="AB9" i="2"/>
  <c r="I69" i="2"/>
  <c r="P70" i="2"/>
  <c r="D69" i="2"/>
  <c r="W38" i="2"/>
  <c r="AN71" i="2"/>
  <c r="U72" i="2"/>
  <c r="Q72" i="2"/>
  <c r="AJ71" i="2"/>
  <c r="M70" i="2"/>
  <c r="G72" i="2"/>
  <c r="D72" i="2"/>
  <c r="W71" i="2"/>
  <c r="X71" i="2"/>
  <c r="AG9" i="2"/>
  <c r="N71" i="2"/>
  <c r="N69" i="2"/>
  <c r="E70" i="2"/>
  <c r="X69" i="2"/>
  <c r="AA71" i="2"/>
  <c r="H72" i="2"/>
  <c r="AM38" i="2"/>
  <c r="T69" i="2"/>
  <c r="AN38" i="2"/>
  <c r="R72" i="2"/>
  <c r="AK71" i="2"/>
  <c r="L71" i="2"/>
  <c r="AE9" i="2"/>
  <c r="L69" i="2"/>
  <c r="AF69" i="2" s="1"/>
  <c r="AF9" i="2"/>
  <c r="AK38" i="2"/>
  <c r="R69" i="2"/>
  <c r="AL69" i="2" s="1"/>
  <c r="AL71" i="2"/>
  <c r="S72" i="2"/>
  <c r="AC9" i="2"/>
  <c r="J69" i="2"/>
  <c r="AD69" i="2" s="1"/>
  <c r="J71" i="2"/>
  <c r="AD71" i="2" s="1"/>
  <c r="AL38" i="2"/>
  <c r="S70" i="2"/>
  <c r="K70" i="2"/>
  <c r="T72" i="2"/>
  <c r="AM71" i="2"/>
  <c r="Q69" i="2"/>
  <c r="K72" i="2"/>
  <c r="X38" i="2"/>
  <c r="H70" i="2"/>
  <c r="Q70" i="1"/>
  <c r="AJ69" i="1"/>
  <c r="O70" i="1"/>
  <c r="AI69" i="1"/>
  <c r="R69" i="1"/>
  <c r="AK9" i="1"/>
  <c r="R71" i="1"/>
  <c r="AL71" i="1" s="1"/>
  <c r="D72" i="1"/>
  <c r="W71" i="1"/>
  <c r="X38" i="1"/>
  <c r="E69" i="1"/>
  <c r="Y69" i="1" s="1"/>
  <c r="W69" i="1"/>
  <c r="D70" i="1"/>
  <c r="AA69" i="1"/>
  <c r="H70" i="1"/>
  <c r="AL9" i="1"/>
  <c r="S70" i="1"/>
  <c r="AF38" i="1"/>
  <c r="M69" i="1"/>
  <c r="AB9" i="1"/>
  <c r="I69" i="1"/>
  <c r="AC69" i="1" s="1"/>
  <c r="I71" i="1"/>
  <c r="Y71" i="1"/>
  <c r="F72" i="1"/>
  <c r="AG38" i="1"/>
  <c r="N69" i="1"/>
  <c r="J72" i="1"/>
  <c r="J70" i="1"/>
  <c r="Z71" i="1"/>
  <c r="G72" i="1"/>
  <c r="F70" i="1"/>
  <c r="X71" i="1"/>
  <c r="L69" i="1"/>
  <c r="L71" i="1"/>
  <c r="AF71" i="1" s="1"/>
  <c r="AE9" i="1"/>
  <c r="AF9" i="1"/>
  <c r="Z69" i="1"/>
  <c r="G70" i="1"/>
  <c r="AG71" i="1"/>
  <c r="N72" i="1"/>
  <c r="U72" i="1"/>
  <c r="AN71" i="1"/>
  <c r="AD69" i="1"/>
  <c r="K70" i="1"/>
  <c r="U69" i="1"/>
  <c r="AA71" i="1"/>
  <c r="M72" i="1"/>
  <c r="AD71" i="1"/>
  <c r="K72" i="1"/>
  <c r="S72" i="1"/>
  <c r="AO69" i="2" l="1"/>
  <c r="V70" i="2"/>
  <c r="V72" i="2"/>
  <c r="AO71" i="2"/>
  <c r="Q72" i="1"/>
  <c r="AJ71" i="1"/>
  <c r="V70" i="1"/>
  <c r="AO69" i="1"/>
  <c r="AO71" i="1"/>
  <c r="V72" i="1"/>
  <c r="G70" i="2"/>
  <c r="Z69" i="2"/>
  <c r="AG69" i="2"/>
  <c r="N70" i="2"/>
  <c r="AG71" i="2"/>
  <c r="N72" i="2"/>
  <c r="AA69" i="2"/>
  <c r="D70" i="2"/>
  <c r="W69" i="2"/>
  <c r="Y71" i="2"/>
  <c r="F72" i="2"/>
  <c r="F70" i="2"/>
  <c r="Y69" i="2"/>
  <c r="J70" i="2"/>
  <c r="AC69" i="2"/>
  <c r="T70" i="2"/>
  <c r="AM69" i="2"/>
  <c r="Z71" i="2"/>
  <c r="AB69" i="2"/>
  <c r="I70" i="2"/>
  <c r="AH71" i="2"/>
  <c r="O72" i="2"/>
  <c r="AI71" i="2"/>
  <c r="L72" i="2"/>
  <c r="AE71" i="2"/>
  <c r="AF71" i="2"/>
  <c r="Q70" i="2"/>
  <c r="AJ69" i="2"/>
  <c r="I72" i="2"/>
  <c r="AB71" i="2"/>
  <c r="AH69" i="2"/>
  <c r="O70" i="2"/>
  <c r="L70" i="2"/>
  <c r="AE69" i="2"/>
  <c r="AC71" i="2"/>
  <c r="J72" i="2"/>
  <c r="R70" i="2"/>
  <c r="AK69" i="2"/>
  <c r="I72" i="1"/>
  <c r="AB71" i="1"/>
  <c r="U70" i="1"/>
  <c r="AN69" i="1"/>
  <c r="AC71" i="1"/>
  <c r="AK69" i="1"/>
  <c r="R70" i="1"/>
  <c r="AG69" i="1"/>
  <c r="N70" i="1"/>
  <c r="AH69" i="1"/>
  <c r="AE69" i="1"/>
  <c r="L70" i="1"/>
  <c r="X69" i="1"/>
  <c r="E70" i="1"/>
  <c r="I70" i="1"/>
  <c r="AB69" i="1"/>
  <c r="M70" i="1"/>
  <c r="AF69" i="1"/>
  <c r="AK71" i="1"/>
  <c r="R72" i="1"/>
  <c r="AL69" i="1"/>
  <c r="L72" i="1"/>
  <c r="AE71" i="1"/>
</calcChain>
</file>

<file path=xl/sharedStrings.xml><?xml version="1.0" encoding="utf-8"?>
<sst xmlns="http://schemas.openxmlformats.org/spreadsheetml/2006/main" count="318" uniqueCount="157">
  <si>
    <t>CONCEPTO</t>
  </si>
  <si>
    <t>GASTOS CORRIENTES</t>
  </si>
  <si>
    <t xml:space="preserve">    Sueldos y Salarios</t>
  </si>
  <si>
    <t xml:space="preserve">         Deuda Interna</t>
  </si>
  <si>
    <t xml:space="preserve">         Deuda externa</t>
  </si>
  <si>
    <t xml:space="preserve">    Transferencias</t>
  </si>
  <si>
    <t xml:space="preserve">         Sector Privado </t>
  </si>
  <si>
    <t xml:space="preserve">         Sector Publico</t>
  </si>
  <si>
    <t xml:space="preserve">         Sector Externo</t>
  </si>
  <si>
    <t>GASTOS DE CAPITAL</t>
  </si>
  <si>
    <t xml:space="preserve">INGRESOS TOTALES </t>
  </si>
  <si>
    <t xml:space="preserve"> II- Ingresos de Capital:</t>
  </si>
  <si>
    <t>I-3  Ingresos no Tributarios</t>
  </si>
  <si>
    <t xml:space="preserve">    Inversion </t>
  </si>
  <si>
    <t>Transferencias ctes con recurso externo</t>
  </si>
  <si>
    <t>Transferencias capital con recurso externo</t>
  </si>
  <si>
    <t>Gasto Total sin Intereses</t>
  </si>
  <si>
    <t xml:space="preserve">    Intereses    </t>
  </si>
  <si>
    <t>1 - 3</t>
  </si>
  <si>
    <t>1 - 2</t>
  </si>
  <si>
    <t>VARIACION</t>
  </si>
  <si>
    <t>SUP/ DÉFICIT  FINANCIERO.</t>
  </si>
  <si>
    <t>DEF/SUPERÁVIT PRIMARIO</t>
  </si>
  <si>
    <t>Impuesto a los ingresos y utilidades</t>
  </si>
  <si>
    <t>Sobre importaciones</t>
  </si>
  <si>
    <t>Sobre exportaciones</t>
  </si>
  <si>
    <t>Ventas</t>
  </si>
  <si>
    <t>Interno</t>
  </si>
  <si>
    <t>Aduanas</t>
  </si>
  <si>
    <t>Consumo</t>
  </si>
  <si>
    <t>I-1  Ingresos Tributarios</t>
  </si>
  <si>
    <t>I-   Ingresos Corrientes</t>
  </si>
  <si>
    <t>Otros ingresos tributarios</t>
  </si>
  <si>
    <t>I-2 Contribuciones Sociales</t>
  </si>
  <si>
    <t>I-4  Transferencias</t>
  </si>
  <si>
    <t>Arancel:</t>
  </si>
  <si>
    <t>1% Valor Aduanero:</t>
  </si>
  <si>
    <t xml:space="preserve"> Por Caja Banano Exportada</t>
  </si>
  <si>
    <t>Der.de Exp.ad/valorem</t>
  </si>
  <si>
    <t>Transferencias con recurso externo</t>
  </si>
  <si>
    <t>FINANCIAMIENTO</t>
  </si>
  <si>
    <t>Remuneraciones</t>
  </si>
  <si>
    <t xml:space="preserve">   Interno Neto</t>
  </si>
  <si>
    <t xml:space="preserve">   Externo Neto</t>
  </si>
  <si>
    <t xml:space="preserve">Ingreso y Gasto Reconocido Gobierno Central </t>
  </si>
  <si>
    <t>en millones de colones</t>
  </si>
  <si>
    <r>
      <rPr>
        <b/>
        <sz val="10"/>
        <rFont val="Arial"/>
        <family val="2"/>
      </rPr>
      <t xml:space="preserve">Fuente:  </t>
    </r>
    <r>
      <rPr>
        <sz val="10"/>
        <rFont val="Arial"/>
        <family val="2"/>
      </rPr>
      <t>Cuadro elaborado en la Secretaría Técnica de la Autoridad Presupuestaria, con información suministrada por la Contabilidad Nacional y la Dirección de Crédito Público.</t>
    </r>
  </si>
  <si>
    <t xml:space="preserve"> </t>
  </si>
  <si>
    <t>2012</t>
  </si>
  <si>
    <t>2006</t>
  </si>
  <si>
    <t>Acumulado al mes de julio</t>
  </si>
  <si>
    <t>Mes de julio</t>
  </si>
  <si>
    <t>2013</t>
  </si>
  <si>
    <t>2014</t>
  </si>
  <si>
    <t xml:space="preserve"> Impuesto Exportaciones Vía Terrestre</t>
  </si>
  <si>
    <t>% PIB</t>
  </si>
  <si>
    <t>2015</t>
  </si>
  <si>
    <t>Concesión Neta de Préstamos</t>
  </si>
  <si>
    <t xml:space="preserve">Concesión </t>
  </si>
  <si>
    <t xml:space="preserve">Recuperación </t>
  </si>
  <si>
    <t>2016</t>
  </si>
  <si>
    <t>2017</t>
  </si>
  <si>
    <t>GASTOS TOTALES Y CONCESIÓN NETA</t>
  </si>
  <si>
    <t xml:space="preserve"> II- Ingresos de Capital: </t>
  </si>
  <si>
    <t>2018</t>
  </si>
  <si>
    <t>2019</t>
  </si>
  <si>
    <t>2020</t>
  </si>
  <si>
    <t>2021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</si>
  <si>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</si>
  <si>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</si>
  <si>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</si>
  <si>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</si>
  <si>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</si>
  <si>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</si>
  <si>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</si>
  <si>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</si>
  <si>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</si>
  <si>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</si>
  <si>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</si>
  <si>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</si>
  <si>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</si>
  <si>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</si>
  <si>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</si>
  <si>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2022</t>
  </si>
  <si>
    <t>21/22</t>
  </si>
  <si>
    <t>Otros Ingresos tributarios diversos internos</t>
  </si>
  <si>
    <t>Otros Ingresos tributarios diversos aduanas</t>
  </si>
  <si>
    <t>22/23</t>
  </si>
  <si>
    <t>2023</t>
  </si>
  <si>
    <t>|</t>
  </si>
  <si>
    <t>2024</t>
  </si>
  <si>
    <t>23/24</t>
  </si>
  <si>
    <t>Cifras del mes de julio 2019 - 2025</t>
  </si>
  <si>
    <t>2025</t>
  </si>
  <si>
    <t xml:space="preserve">Cifras acumuladas al mes de julio 2019 - 2025 </t>
  </si>
  <si>
    <t>24/25</t>
  </si>
  <si>
    <r>
      <t>PIB</t>
    </r>
    <r>
      <rPr>
        <b/>
        <vertAlign val="superscript"/>
        <sz val="10"/>
        <rFont val="Arial"/>
        <family val="2"/>
      </rPr>
      <t xml:space="preserve"> 1/</t>
    </r>
  </si>
  <si>
    <r>
      <rPr>
        <vertAlign val="superscript"/>
        <sz val="10"/>
        <rFont val="Arial"/>
        <family val="2"/>
      </rPr>
      <t>2/</t>
    </r>
    <r>
      <rPr>
        <sz val="10"/>
        <rFont val="Arial"/>
        <family val="2"/>
      </rPr>
      <t xml:space="preserve">  A partir de enero 2020 los egresos de las cargas sociales de los programas 327-328- 329 del Ministerio de Obras Públicas y Transportes (MOPT), se capitalizan, por lo que se incluyen en el rubro de inversión.</t>
    </r>
  </si>
  <si>
    <r>
      <rPr>
        <vertAlign val="superscript"/>
        <sz val="10"/>
        <rFont val="Arial"/>
        <family val="2"/>
      </rPr>
      <t>3/</t>
    </r>
    <r>
      <rPr>
        <sz val="10"/>
        <rFont val="Arial"/>
        <family val="2"/>
      </rPr>
      <t xml:space="preserve"> Los egresos de bienes y servicios del programa 797 de Ministerio de Comercio Exterior a partir de enero 2020 se capitalizan y se incluyen en el rubro de inversión.</t>
    </r>
  </si>
  <si>
    <r>
      <t xml:space="preserve">    Transferencias</t>
    </r>
    <r>
      <rPr>
        <vertAlign val="superscript"/>
        <sz val="10"/>
        <rFont val="Arial"/>
        <family val="2"/>
      </rPr>
      <t xml:space="preserve"> </t>
    </r>
  </si>
  <si>
    <r>
      <t xml:space="preserve">    Cargas Sociales</t>
    </r>
    <r>
      <rPr>
        <vertAlign val="superscript"/>
        <sz val="10"/>
        <rFont val="Arial"/>
        <family val="2"/>
      </rPr>
      <t>2/</t>
    </r>
  </si>
  <si>
    <r>
      <t xml:space="preserve">    Bienes y Servicios</t>
    </r>
    <r>
      <rPr>
        <vertAlign val="superscript"/>
        <sz val="10"/>
        <rFont val="Arial"/>
        <family val="2"/>
      </rPr>
      <t>3/</t>
    </r>
  </si>
  <si>
    <r>
      <rPr>
        <vertAlign val="superscript"/>
        <sz val="10"/>
        <rFont val="Arial"/>
        <family val="2"/>
      </rPr>
      <t xml:space="preserve">2/ </t>
    </r>
    <r>
      <rPr>
        <sz val="10"/>
        <rFont val="Arial"/>
        <family val="2"/>
      </rPr>
      <t xml:space="preserve"> A partir de enero 2020 los egresos de las cargas sociales de los programas 327-328- 329 del Ministerio de Obras Públicas y Transportes (MOPT), se capitalizan, por lo que se incluyen en el rubro de inversión.</t>
    </r>
  </si>
  <si>
    <r>
      <rPr>
        <vertAlign val="superscript"/>
        <sz val="10"/>
        <rFont val="Arial"/>
        <family val="2"/>
      </rPr>
      <t>3/</t>
    </r>
    <r>
      <rPr>
        <sz val="10"/>
        <rFont val="Arial"/>
        <family val="2"/>
      </rPr>
      <t xml:space="preserve"> Los egresos de bienes y servicios del programa 797 de Ministerio de Comercio Exterior a partir de enero 2020 se capitalizan y se incluyen en el rubro de inversión</t>
    </r>
  </si>
  <si>
    <t>GOBIERNO CENTRAL DE COSTA RICA</t>
  </si>
  <si>
    <t>PRINCIPALES INGRESOS</t>
  </si>
  <si>
    <t>COMPARATIVOS MES JULIO</t>
  </si>
  <si>
    <t>COMPARATIVOS ACUMULADO AL MES DE JULIO</t>
  </si>
  <si>
    <t>(en millones de colones)</t>
  </si>
  <si>
    <t>Variacion</t>
  </si>
  <si>
    <t>INGRESOS TOTALES:</t>
  </si>
  <si>
    <t>Ingresos Corrientes:</t>
  </si>
  <si>
    <t>I-1 Ingresos Tributarios :</t>
  </si>
  <si>
    <t>I-1.1   Impuesto a los ingresos y utilidades</t>
  </si>
  <si>
    <t xml:space="preserve">       - Ingresos y Utilidades a Personas Físicas</t>
  </si>
  <si>
    <t xml:space="preserve">       - Ingresos y Utilidades a Personas Jurídicas</t>
  </si>
  <si>
    <t xml:space="preserve">       - Dividendos e Intereses s/ Títulos valores</t>
  </si>
  <si>
    <t xml:space="preserve">       - Remesas al Exterior</t>
  </si>
  <si>
    <t xml:space="preserve">       - Bancos y Entidades Financ no domiciliadas</t>
  </si>
  <si>
    <t xml:space="preserve">I-1.2   Impuestos a la propiedad </t>
  </si>
  <si>
    <t xml:space="preserve">            Propiedad de vehículos</t>
  </si>
  <si>
    <t xml:space="preserve">            Imp Solidario Vivienda</t>
  </si>
  <si>
    <t xml:space="preserve">            Imp. Sociedades Anónimas</t>
  </si>
  <si>
    <t>I-1.3  Sobre Importaciones :</t>
  </si>
  <si>
    <t xml:space="preserve">           I-1.3.1  Arancel:</t>
  </si>
  <si>
    <t xml:space="preserve">           I-1.3.2 1% Valor Aduanero:</t>
  </si>
  <si>
    <t>I-1.4  Sobre Exportaciones :</t>
  </si>
  <si>
    <t xml:space="preserve">           I-1.4.1  Por Caja Banano Exportada</t>
  </si>
  <si>
    <t xml:space="preserve">           I-1.4.2  Der.de Exp.ad/valorem</t>
  </si>
  <si>
    <t xml:space="preserve">           I-1.4.3  Imp Exp vía terrestre</t>
  </si>
  <si>
    <t xml:space="preserve">I-1.5  Ventas: </t>
  </si>
  <si>
    <t xml:space="preserve">           I-1.5.1  Interno</t>
  </si>
  <si>
    <t xml:space="preserve">           I-1.5.2  Aduanas:</t>
  </si>
  <si>
    <t xml:space="preserve">I-1.6  Consumo: </t>
  </si>
  <si>
    <t xml:space="preserve">           I-1.6.1  Interno</t>
  </si>
  <si>
    <t xml:space="preserve">           I-1.6.2  Aduanas:</t>
  </si>
  <si>
    <t>I-1.7  Otros Indirectos :</t>
  </si>
  <si>
    <t xml:space="preserve">    Impuesto unico combustibles</t>
  </si>
  <si>
    <t xml:space="preserve">        -Interno</t>
  </si>
  <si>
    <t xml:space="preserve">       - Importaciones</t>
  </si>
  <si>
    <t xml:space="preserve">    Impuesto bebidas no alcohólicas</t>
  </si>
  <si>
    <t xml:space="preserve">    Impuesto jabón de tocador</t>
  </si>
  <si>
    <t xml:space="preserve">    Impuesto bebidas alcohólicas</t>
  </si>
  <si>
    <t xml:space="preserve">    Imp.Prod.Tabaco </t>
  </si>
  <si>
    <t xml:space="preserve">    Traspaso vehículos usados</t>
  </si>
  <si>
    <t xml:space="preserve">    Traspaso bienes inmuebles</t>
  </si>
  <si>
    <t xml:space="preserve">    Timbre Fiscal</t>
  </si>
  <si>
    <t xml:space="preserve">    Derechos de Salida del Territorio Nacional</t>
  </si>
  <si>
    <t xml:space="preserve">    Derechos Consulares</t>
  </si>
  <si>
    <t xml:space="preserve">    Impuestos Ley de Migración y Extranjeria </t>
  </si>
  <si>
    <t xml:space="preserve">    Otros Ingresos Tributarios</t>
  </si>
  <si>
    <t xml:space="preserve">    Otros Ingresos tributarios diversos internos</t>
  </si>
  <si>
    <t xml:space="preserve">    Otros Ingresos tributarios diversos aduanas</t>
  </si>
  <si>
    <t>I-4 Transferencias</t>
  </si>
  <si>
    <t>II- Ingresos de Capital:</t>
  </si>
  <si>
    <r>
      <rPr>
        <vertAlign val="superscript"/>
        <sz val="10"/>
        <rFont val="Arial"/>
        <family val="2"/>
      </rPr>
      <t>1/</t>
    </r>
    <r>
      <rPr>
        <sz val="10"/>
        <rFont val="Arial"/>
        <family val="2"/>
      </rPr>
      <t xml:space="preserve"> Según el PIB publicado por el Banco Central  en abril 2025, proyección 2025-2026 utilizada en el informe de Política Monetaria  de julio 2025, aprobado por la Junta Directiva en el artículo 3 del acta de la sesión 6270-2025, el 28 de julio de 2025 </t>
    </r>
  </si>
  <si>
    <r>
      <rPr>
        <vertAlign val="superscript"/>
        <sz val="10"/>
        <rFont val="Arial"/>
        <family val="2"/>
      </rPr>
      <t xml:space="preserve">1/ </t>
    </r>
    <r>
      <rPr>
        <sz val="10"/>
        <rFont val="Arial"/>
        <family val="2"/>
      </rPr>
      <t xml:space="preserve">Según el PIB publicado por el Banco Central  en abril 2025, proyección 2025-2026 utilizada en el informe de Política Monetaria  de julio 2025, aprobado por la Junta Directiva en el artículo 3 del acta de la sesión 6270-2025, el 28 de julio de 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</si>
</sst>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P_t_s_-;\-* #,##0.00\ _P_t_s_-;_-* &quot;-&quot;??\ _P_t_s_-;_-@_-"/>
    <numFmt numFmtId="165" formatCode="#,##0.0\ _p_t_a"/>
    <numFmt numFmtId="166" formatCode="0.0"/>
    <numFmt numFmtId="167" formatCode="#,##0.0"/>
    <numFmt numFmtId="168" formatCode="#,##0.0_);\(#,##0.0\)"/>
    <numFmt numFmtId="169" formatCode="0.0%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sz val="10"/>
      <color indexed="49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u val="double"/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  <font>
      <b/>
      <sz val="8"/>
      <color indexed="12"/>
      <name val="Arial"/>
      <family val="2"/>
    </font>
    <font>
      <sz val="8"/>
      <name val="Tahoma"/>
      <family val="2"/>
    </font>
    <font>
      <u/>
      <sz val="8"/>
      <name val="Arial"/>
      <family val="2"/>
    </font>
    <font>
      <sz val="8"/>
      <color theme="0"/>
      <name val="Arial"/>
      <family val="2"/>
    </font>
    <font>
      <sz val="8"/>
      <color theme="2"/>
      <name val="Arial"/>
      <family val="2"/>
    </font>
    <font>
      <sz val="8"/>
      <color theme="0" tint="-4.9989318521683403E-2"/>
      <name val="Arial"/>
      <family val="2"/>
    </font>
    <font>
      <b/>
      <sz val="8"/>
      <color rgb="FF0000FF"/>
      <name val="Arial"/>
      <family val="2"/>
    </font>
    <font>
      <b/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167" fontId="4" fillId="0" borderId="0" xfId="0" applyNumberFormat="1" applyFont="1" applyAlignment="1">
      <alignment horizontal="left" wrapText="1"/>
    </xf>
    <xf numFmtId="167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167" fontId="4" fillId="0" borderId="0" xfId="0" applyNumberFormat="1" applyFont="1"/>
    <xf numFmtId="167" fontId="3" fillId="0" borderId="0" xfId="0" applyNumberFormat="1" applyFont="1"/>
    <xf numFmtId="0" fontId="4" fillId="0" borderId="0" xfId="0" applyFont="1"/>
    <xf numFmtId="165" fontId="3" fillId="0" borderId="0" xfId="0" applyNumberFormat="1" applyFont="1"/>
    <xf numFmtId="164" fontId="3" fillId="0" borderId="0" xfId="2" applyFont="1"/>
    <xf numFmtId="0" fontId="3" fillId="0" borderId="1" xfId="0" applyFont="1" applyBorder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indent="2"/>
    </xf>
    <xf numFmtId="165" fontId="9" fillId="0" borderId="0" xfId="0" applyNumberFormat="1" applyFont="1"/>
    <xf numFmtId="167" fontId="8" fillId="0" borderId="0" xfId="0" applyNumberFormat="1" applyFont="1"/>
    <xf numFmtId="167" fontId="10" fillId="0" borderId="0" xfId="0" applyNumberFormat="1" applyFont="1"/>
    <xf numFmtId="167" fontId="11" fillId="0" borderId="0" xfId="0" applyNumberFormat="1" applyFont="1"/>
    <xf numFmtId="167" fontId="3" fillId="0" borderId="0" xfId="0" applyNumberFormat="1" applyFont="1" applyAlignment="1">
      <alignment horizontal="left" indent="1"/>
    </xf>
    <xf numFmtId="167" fontId="3" fillId="0" borderId="0" xfId="0" applyNumberFormat="1" applyFont="1" applyAlignment="1">
      <alignment horizontal="left" indent="2"/>
    </xf>
    <xf numFmtId="167" fontId="3" fillId="0" borderId="0" xfId="0" applyNumberFormat="1" applyFont="1" applyAlignment="1">
      <alignment horizontal="left" indent="3"/>
    </xf>
    <xf numFmtId="0" fontId="3" fillId="0" borderId="0" xfId="0" applyFont="1" applyAlignment="1">
      <alignment horizontal="left" indent="1"/>
    </xf>
    <xf numFmtId="0" fontId="11" fillId="0" borderId="0" xfId="0" applyFont="1"/>
    <xf numFmtId="167" fontId="3" fillId="0" borderId="0" xfId="0" applyNumberFormat="1" applyFont="1" applyAlignment="1">
      <alignment horizontal="right"/>
    </xf>
    <xf numFmtId="167" fontId="12" fillId="0" borderId="0" xfId="0" applyNumberFormat="1" applyFont="1"/>
    <xf numFmtId="169" fontId="7" fillId="0" borderId="0" xfId="8" applyNumberFormat="1" applyFont="1" applyBorder="1"/>
    <xf numFmtId="169" fontId="3" fillId="0" borderId="0" xfId="8" applyNumberFormat="1" applyFont="1" applyBorder="1"/>
    <xf numFmtId="169" fontId="2" fillId="0" borderId="0" xfId="8" applyNumberFormat="1" applyFont="1" applyBorder="1"/>
    <xf numFmtId="169" fontId="5" fillId="0" borderId="0" xfId="8" applyNumberFormat="1" applyFont="1" applyBorder="1"/>
    <xf numFmtId="165" fontId="13" fillId="0" borderId="0" xfId="0" applyNumberFormat="1" applyFont="1"/>
    <xf numFmtId="167" fontId="11" fillId="0" borderId="0" xfId="7" applyNumberFormat="1" applyFont="1" applyAlignment="1">
      <alignment horizontal="left" wrapText="1"/>
    </xf>
    <xf numFmtId="3" fontId="3" fillId="0" borderId="0" xfId="7" applyNumberFormat="1" applyFont="1"/>
    <xf numFmtId="0" fontId="4" fillId="0" borderId="0" xfId="7" applyFont="1" applyAlignment="1">
      <alignment horizontal="left" vertical="center" wrapText="1"/>
    </xf>
    <xf numFmtId="167" fontId="11" fillId="0" borderId="0" xfId="3" applyNumberFormat="1" applyFont="1"/>
    <xf numFmtId="167" fontId="3" fillId="0" borderId="0" xfId="3" applyNumberFormat="1" applyFont="1"/>
    <xf numFmtId="167" fontId="4" fillId="0" borderId="0" xfId="3" applyNumberFormat="1" applyFont="1"/>
    <xf numFmtId="167" fontId="10" fillId="0" borderId="0" xfId="3" applyNumberFormat="1" applyFont="1"/>
    <xf numFmtId="167" fontId="3" fillId="0" borderId="0" xfId="3" applyNumberFormat="1" applyFont="1" applyAlignment="1">
      <alignment horizontal="right"/>
    </xf>
    <xf numFmtId="169" fontId="15" fillId="0" borderId="0" xfId="8" applyNumberFormat="1" applyFont="1" applyBorder="1"/>
    <xf numFmtId="167" fontId="7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 indent="2"/>
    </xf>
    <xf numFmtId="166" fontId="4" fillId="0" borderId="0" xfId="0" applyNumberFormat="1" applyFont="1"/>
    <xf numFmtId="167" fontId="14" fillId="0" borderId="0" xfId="5" applyNumberFormat="1"/>
    <xf numFmtId="49" fontId="3" fillId="0" borderId="0" xfId="3" applyNumberFormat="1" applyFont="1" applyAlignment="1">
      <alignment wrapText="1"/>
    </xf>
    <xf numFmtId="167" fontId="3" fillId="0" borderId="0" xfId="8" applyNumberFormat="1" applyFont="1" applyFill="1" applyBorder="1"/>
    <xf numFmtId="167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/>
    </xf>
    <xf numFmtId="167" fontId="4" fillId="0" borderId="0" xfId="0" applyNumberFormat="1" applyFont="1" applyAlignment="1">
      <alignment horizontal="right" wrapText="1"/>
    </xf>
    <xf numFmtId="169" fontId="16" fillId="0" borderId="0" xfId="8" applyNumberFormat="1" applyFont="1" applyFill="1" applyBorder="1" applyAlignment="1">
      <alignment horizontal="right" wrapText="1"/>
    </xf>
    <xf numFmtId="167" fontId="3" fillId="0" borderId="0" xfId="7" applyNumberFormat="1" applyFont="1"/>
    <xf numFmtId="167" fontId="11" fillId="0" borderId="0" xfId="7" applyNumberFormat="1" applyFont="1"/>
    <xf numFmtId="167" fontId="3" fillId="0" borderId="0" xfId="8" applyNumberFormat="1" applyFont="1" applyBorder="1"/>
    <xf numFmtId="169" fontId="24" fillId="0" borderId="0" xfId="8" applyNumberFormat="1" applyFont="1" applyBorder="1"/>
    <xf numFmtId="0" fontId="5" fillId="0" borderId="3" xfId="0" applyFont="1" applyBorder="1" applyAlignment="1">
      <alignment horizontal="center"/>
    </xf>
    <xf numFmtId="167" fontId="17" fillId="0" borderId="0" xfId="0" applyNumberFormat="1" applyFont="1" applyAlignment="1">
      <alignment horizontal="right" wrapText="1"/>
    </xf>
    <xf numFmtId="169" fontId="18" fillId="0" borderId="0" xfId="8" applyNumberFormat="1" applyFont="1" applyFill="1" applyBorder="1" applyAlignment="1">
      <alignment horizontal="right" wrapText="1"/>
    </xf>
    <xf numFmtId="167" fontId="2" fillId="0" borderId="0" xfId="7" applyNumberFormat="1" applyFont="1"/>
    <xf numFmtId="167" fontId="19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9" fontId="2" fillId="0" borderId="0" xfId="8" applyNumberFormat="1" applyFont="1" applyFill="1" applyBorder="1"/>
    <xf numFmtId="0" fontId="4" fillId="0" borderId="1" xfId="7" applyFont="1" applyBorder="1" applyAlignment="1">
      <alignment horizontal="left" vertical="center" wrapText="1"/>
    </xf>
    <xf numFmtId="167" fontId="3" fillId="0" borderId="1" xfId="7" applyNumberFormat="1" applyFont="1" applyBorder="1"/>
    <xf numFmtId="3" fontId="3" fillId="0" borderId="1" xfId="7" applyNumberFormat="1" applyFont="1" applyBorder="1"/>
    <xf numFmtId="169" fontId="5" fillId="0" borderId="4" xfId="8" applyNumberFormat="1" applyFont="1" applyFill="1" applyBorder="1" applyAlignment="1">
      <alignment horizontal="right"/>
    </xf>
    <xf numFmtId="169" fontId="5" fillId="0" borderId="5" xfId="8" applyNumberFormat="1" applyFont="1" applyFill="1" applyBorder="1" applyAlignment="1">
      <alignment horizontal="right"/>
    </xf>
    <xf numFmtId="169" fontId="21" fillId="0" borderId="4" xfId="8" applyNumberFormat="1" applyFont="1" applyFill="1" applyBorder="1"/>
    <xf numFmtId="169" fontId="21" fillId="0" borderId="5" xfId="8" applyNumberFormat="1" applyFont="1" applyFill="1" applyBorder="1"/>
    <xf numFmtId="169" fontId="5" fillId="0" borderId="6" xfId="8" applyNumberFormat="1" applyFont="1" applyFill="1" applyBorder="1"/>
    <xf numFmtId="169" fontId="5" fillId="0" borderId="7" xfId="8" applyNumberFormat="1" applyFont="1" applyFill="1" applyBorder="1"/>
    <xf numFmtId="169" fontId="5" fillId="0" borderId="8" xfId="8" applyNumberFormat="1" applyFont="1" applyFill="1" applyBorder="1"/>
    <xf numFmtId="167" fontId="7" fillId="2" borderId="8" xfId="6" applyNumberFormat="1" applyFont="1" applyFill="1" applyBorder="1"/>
    <xf numFmtId="169" fontId="7" fillId="3" borderId="9" xfId="8" applyNumberFormat="1" applyFont="1" applyFill="1" applyBorder="1"/>
    <xf numFmtId="169" fontId="7" fillId="3" borderId="8" xfId="8" applyNumberFormat="1" applyFont="1" applyFill="1" applyBorder="1"/>
    <xf numFmtId="167" fontId="5" fillId="0" borderId="10" xfId="9" applyNumberFormat="1" applyFont="1" applyFill="1" applyBorder="1"/>
    <xf numFmtId="167" fontId="5" fillId="0" borderId="11" xfId="9" applyNumberFormat="1" applyFont="1" applyFill="1" applyBorder="1"/>
    <xf numFmtId="169" fontId="5" fillId="0" borderId="12" xfId="8" applyNumberFormat="1" applyFont="1" applyFill="1" applyBorder="1" applyAlignment="1"/>
    <xf numFmtId="169" fontId="5" fillId="0" borderId="10" xfId="8" applyNumberFormat="1" applyFont="1" applyFill="1" applyBorder="1" applyAlignment="1"/>
    <xf numFmtId="169" fontId="7" fillId="0" borderId="12" xfId="8" applyNumberFormat="1" applyFont="1" applyFill="1" applyBorder="1" applyAlignment="1"/>
    <xf numFmtId="169" fontId="7" fillId="0" borderId="10" xfId="8" applyNumberFormat="1" applyFont="1" applyFill="1" applyBorder="1" applyAlignment="1"/>
    <xf numFmtId="167" fontId="2" fillId="0" borderId="10" xfId="9" applyNumberFormat="1" applyFont="1" applyFill="1" applyBorder="1"/>
    <xf numFmtId="169" fontId="2" fillId="0" borderId="12" xfId="8" applyNumberFormat="1" applyFont="1" applyFill="1" applyBorder="1"/>
    <xf numFmtId="169" fontId="2" fillId="0" borderId="10" xfId="8" applyNumberFormat="1" applyFont="1" applyFill="1" applyBorder="1"/>
    <xf numFmtId="169" fontId="2" fillId="0" borderId="12" xfId="8" applyNumberFormat="1" applyFont="1" applyFill="1" applyBorder="1" applyAlignment="1"/>
    <xf numFmtId="169" fontId="2" fillId="0" borderId="10" xfId="8" applyNumberFormat="1" applyFont="1" applyFill="1" applyBorder="1" applyAlignment="1"/>
    <xf numFmtId="169" fontId="7" fillId="0" borderId="13" xfId="8" applyNumberFormat="1" applyFont="1" applyFill="1" applyBorder="1"/>
    <xf numFmtId="169" fontId="7" fillId="0" borderId="14" xfId="8" applyNumberFormat="1" applyFont="1" applyFill="1" applyBorder="1"/>
    <xf numFmtId="169" fontId="7" fillId="0" borderId="8" xfId="8" applyNumberFormat="1" applyFont="1" applyFill="1" applyBorder="1"/>
    <xf numFmtId="169" fontId="2" fillId="0" borderId="11" xfId="8" applyNumberFormat="1" applyFont="1" applyFill="1" applyBorder="1"/>
    <xf numFmtId="167" fontId="2" fillId="0" borderId="11" xfId="9" applyNumberFormat="1" applyFont="1" applyFill="1" applyBorder="1"/>
    <xf numFmtId="167" fontId="2" fillId="0" borderId="5" xfId="9" applyNumberFormat="1" applyFont="1" applyFill="1" applyBorder="1"/>
    <xf numFmtId="169" fontId="2" fillId="0" borderId="15" xfId="8" applyNumberFormat="1" applyFont="1" applyFill="1" applyBorder="1"/>
    <xf numFmtId="167" fontId="2" fillId="0" borderId="15" xfId="9" applyNumberFormat="1" applyFont="1" applyFill="1" applyBorder="1"/>
    <xf numFmtId="169" fontId="2" fillId="0" borderId="2" xfId="8" applyNumberFormat="1" applyFont="1" applyFill="1" applyBorder="1"/>
    <xf numFmtId="169" fontId="2" fillId="0" borderId="5" xfId="8" applyNumberFormat="1" applyFont="1" applyFill="1" applyBorder="1"/>
    <xf numFmtId="169" fontId="7" fillId="0" borderId="12" xfId="8" applyNumberFormat="1" applyFont="1" applyFill="1" applyBorder="1"/>
    <xf numFmtId="169" fontId="7" fillId="0" borderId="10" xfId="8" applyNumberFormat="1" applyFont="1" applyFill="1" applyBorder="1"/>
    <xf numFmtId="169" fontId="7" fillId="0" borderId="0" xfId="8" applyNumberFormat="1" applyFont="1" applyFill="1" applyBorder="1"/>
    <xf numFmtId="169" fontId="7" fillId="0" borderId="9" xfId="8" applyNumberFormat="1" applyFont="1" applyFill="1" applyBorder="1"/>
    <xf numFmtId="169" fontId="2" fillId="0" borderId="4" xfId="8" applyNumberFormat="1" applyFont="1" applyFill="1" applyBorder="1"/>
    <xf numFmtId="169" fontId="2" fillId="3" borderId="14" xfId="8" applyNumberFormat="1" applyFont="1" applyFill="1" applyBorder="1"/>
    <xf numFmtId="169" fontId="2" fillId="3" borderId="8" xfId="8" applyNumberFormat="1" applyFont="1" applyFill="1" applyBorder="1"/>
    <xf numFmtId="169" fontId="2" fillId="3" borderId="0" xfId="8" applyNumberFormat="1" applyFont="1" applyFill="1" applyBorder="1"/>
    <xf numFmtId="169" fontId="2" fillId="3" borderId="10" xfId="8" applyNumberFormat="1" applyFont="1" applyFill="1" applyBorder="1"/>
    <xf numFmtId="169" fontId="2" fillId="3" borderId="2" xfId="8" applyNumberFormat="1" applyFont="1" applyFill="1" applyBorder="1"/>
    <xf numFmtId="169" fontId="2" fillId="3" borderId="5" xfId="8" applyNumberFormat="1" applyFont="1" applyFill="1" applyBorder="1"/>
    <xf numFmtId="169" fontId="25" fillId="0" borderId="0" xfId="8" applyNumberFormat="1" applyFont="1" applyBorder="1"/>
    <xf numFmtId="167" fontId="7" fillId="2" borderId="11" xfId="6" applyNumberFormat="1" applyFont="1" applyFill="1" applyBorder="1"/>
    <xf numFmtId="167" fontId="2" fillId="2" borderId="8" xfId="9" applyNumberFormat="1" applyFont="1" applyFill="1" applyBorder="1"/>
    <xf numFmtId="167" fontId="2" fillId="2" borderId="10" xfId="9" applyNumberFormat="1" applyFont="1" applyFill="1" applyBorder="1"/>
    <xf numFmtId="167" fontId="2" fillId="2" borderId="5" xfId="9" applyNumberFormat="1" applyFont="1" applyFill="1" applyBorder="1"/>
    <xf numFmtId="169" fontId="2" fillId="3" borderId="7" xfId="8" applyNumberFormat="1" applyFont="1" applyFill="1" applyBorder="1"/>
    <xf numFmtId="169" fontId="26" fillId="0" borderId="0" xfId="8" applyNumberFormat="1" applyFont="1" applyBorder="1"/>
    <xf numFmtId="167" fontId="3" fillId="0" borderId="1" xfId="0" applyNumberFormat="1" applyFont="1" applyBorder="1"/>
    <xf numFmtId="167" fontId="7" fillId="2" borderId="13" xfId="6" applyNumberFormat="1" applyFont="1" applyFill="1" applyBorder="1"/>
    <xf numFmtId="167" fontId="2" fillId="2" borderId="13" xfId="9" applyNumberFormat="1" applyFont="1" applyFill="1" applyBorder="1"/>
    <xf numFmtId="167" fontId="2" fillId="2" borderId="11" xfId="9" applyNumberFormat="1" applyFont="1" applyFill="1" applyBorder="1"/>
    <xf numFmtId="167" fontId="2" fillId="2" borderId="15" xfId="9" applyNumberFormat="1" applyFont="1" applyFill="1" applyBorder="1"/>
    <xf numFmtId="0" fontId="3" fillId="0" borderId="0" xfId="0" applyFont="1" applyAlignment="1">
      <alignment horizontal="left" wrapText="1"/>
    </xf>
    <xf numFmtId="49" fontId="3" fillId="0" borderId="0" xfId="3" applyNumberFormat="1" applyFont="1" applyAlignment="1">
      <alignment horizontal="left" wrapText="1"/>
    </xf>
    <xf numFmtId="0" fontId="3" fillId="0" borderId="0" xfId="0" applyFont="1" applyAlignment="1">
      <alignment wrapText="1"/>
    </xf>
    <xf numFmtId="169" fontId="24" fillId="0" borderId="12" xfId="8" applyNumberFormat="1" applyFont="1" applyFill="1" applyBorder="1" applyAlignment="1"/>
    <xf numFmtId="167" fontId="5" fillId="0" borderId="7" xfId="6" applyNumberFormat="1" applyFont="1" applyBorder="1"/>
    <xf numFmtId="167" fontId="5" fillId="0" borderId="16" xfId="6" applyNumberFormat="1" applyFont="1" applyBorder="1"/>
    <xf numFmtId="167" fontId="5" fillId="0" borderId="5" xfId="6" applyNumberFormat="1" applyFont="1" applyBorder="1"/>
    <xf numFmtId="167" fontId="5" fillId="0" borderId="15" xfId="6" applyNumberFormat="1" applyFont="1" applyBorder="1"/>
    <xf numFmtId="167" fontId="27" fillId="0" borderId="7" xfId="6" applyNumberFormat="1" applyFont="1" applyBorder="1"/>
    <xf numFmtId="167" fontId="27" fillId="0" borderId="16" xfId="6" applyNumberFormat="1" applyFont="1" applyBorder="1"/>
    <xf numFmtId="167" fontId="5" fillId="0" borderId="3" xfId="6" applyNumberFormat="1" applyFont="1" applyBorder="1"/>
    <xf numFmtId="167" fontId="5" fillId="0" borderId="8" xfId="6" applyNumberFormat="1" applyFont="1" applyBorder="1"/>
    <xf numFmtId="167" fontId="5" fillId="0" borderId="13" xfId="6" applyNumberFormat="1" applyFont="1" applyBorder="1"/>
    <xf numFmtId="167" fontId="7" fillId="0" borderId="11" xfId="6" applyNumberFormat="1" applyFont="1" applyBorder="1"/>
    <xf numFmtId="167" fontId="7" fillId="0" borderId="10" xfId="6" applyNumberFormat="1" applyFont="1" applyBorder="1"/>
    <xf numFmtId="169" fontId="24" fillId="0" borderId="12" xfId="8" applyNumberFormat="1" applyFont="1" applyFill="1" applyBorder="1"/>
    <xf numFmtId="169" fontId="24" fillId="0" borderId="10" xfId="8" applyNumberFormat="1" applyFont="1" applyFill="1" applyBorder="1"/>
    <xf numFmtId="169" fontId="24" fillId="0" borderId="10" xfId="8" applyNumberFormat="1" applyFont="1" applyFill="1" applyBorder="1" applyAlignment="1"/>
    <xf numFmtId="167" fontId="2" fillId="0" borderId="11" xfId="6" applyNumberFormat="1" applyFont="1" applyBorder="1"/>
    <xf numFmtId="167" fontId="2" fillId="0" borderId="10" xfId="6" applyNumberFormat="1" applyFont="1" applyBorder="1"/>
    <xf numFmtId="167" fontId="7" fillId="0" borderId="8" xfId="6" applyNumberFormat="1" applyFont="1" applyBorder="1"/>
    <xf numFmtId="167" fontId="7" fillId="0" borderId="13" xfId="6" applyNumberFormat="1" applyFont="1" applyBorder="1"/>
    <xf numFmtId="0" fontId="2" fillId="0" borderId="12" xfId="6" applyFont="1" applyBorder="1" applyAlignment="1">
      <alignment horizontal="left"/>
    </xf>
    <xf numFmtId="0" fontId="2" fillId="0" borderId="4" xfId="6" applyFont="1" applyBorder="1" applyAlignment="1">
      <alignment horizontal="left"/>
    </xf>
    <xf numFmtId="167" fontId="2" fillId="0" borderId="5" xfId="6" applyNumberFormat="1" applyFont="1" applyBorder="1"/>
    <xf numFmtId="167" fontId="2" fillId="0" borderId="15" xfId="6" applyNumberFormat="1" applyFont="1" applyBorder="1"/>
    <xf numFmtId="169" fontId="24" fillId="0" borderId="0" xfId="8" applyNumberFormat="1" applyFont="1" applyFill="1" applyBorder="1"/>
    <xf numFmtId="167" fontId="23" fillId="0" borderId="10" xfId="6" applyNumberFormat="1" applyFont="1" applyBorder="1"/>
    <xf numFmtId="167" fontId="23" fillId="0" borderId="11" xfId="6" applyNumberFormat="1" applyFont="1" applyBorder="1"/>
    <xf numFmtId="167" fontId="7" fillId="0" borderId="5" xfId="6" applyNumberFormat="1" applyFont="1" applyBorder="1"/>
    <xf numFmtId="167" fontId="7" fillId="0" borderId="15" xfId="6" applyNumberFormat="1" applyFont="1" applyBorder="1"/>
    <xf numFmtId="0" fontId="5" fillId="3" borderId="8" xfId="6" applyFont="1" applyFill="1" applyBorder="1" applyAlignment="1">
      <alignment horizontal="left"/>
    </xf>
    <xf numFmtId="0" fontId="2" fillId="0" borderId="10" xfId="6" applyFont="1" applyBorder="1" applyAlignment="1">
      <alignment horizontal="left"/>
    </xf>
    <xf numFmtId="0" fontId="5" fillId="0" borderId="10" xfId="6" applyFont="1" applyBorder="1" applyAlignment="1">
      <alignment horizontal="left"/>
    </xf>
    <xf numFmtId="0" fontId="2" fillId="0" borderId="5" xfId="6" applyFont="1" applyBorder="1" applyAlignment="1">
      <alignment horizontal="left"/>
    </xf>
    <xf numFmtId="9" fontId="0" fillId="0" borderId="0" xfId="8" applyFont="1"/>
    <xf numFmtId="167" fontId="0" fillId="0" borderId="0" xfId="0" applyNumberFormat="1"/>
    <xf numFmtId="0" fontId="4" fillId="0" borderId="17" xfId="0" applyFont="1" applyBorder="1" applyAlignment="1">
      <alignment horizontal="center"/>
    </xf>
    <xf numFmtId="169" fontId="24" fillId="0" borderId="11" xfId="8" applyNumberFormat="1" applyFont="1" applyFill="1" applyBorder="1"/>
    <xf numFmtId="167" fontId="3" fillId="0" borderId="0" xfId="0" applyNumberFormat="1" applyFont="1" applyAlignment="1">
      <alignment horizontal="left" wrapText="1"/>
    </xf>
    <xf numFmtId="0" fontId="2" fillId="0" borderId="0" xfId="11" applyFont="1"/>
    <xf numFmtId="0" fontId="28" fillId="0" borderId="0" xfId="11" applyFont="1"/>
    <xf numFmtId="167" fontId="28" fillId="0" borderId="0" xfId="11" applyNumberFormat="1" applyFont="1"/>
    <xf numFmtId="168" fontId="2" fillId="0" borderId="0" xfId="11" applyNumberFormat="1" applyFont="1"/>
    <xf numFmtId="167" fontId="2" fillId="0" borderId="0" xfId="11" applyNumberFormat="1" applyFont="1"/>
    <xf numFmtId="0" fontId="5" fillId="0" borderId="0" xfId="11" applyFont="1" applyAlignment="1">
      <alignment horizontal="center"/>
    </xf>
    <xf numFmtId="0" fontId="5" fillId="3" borderId="6" xfId="11" applyFont="1" applyFill="1" applyBorder="1" applyAlignment="1">
      <alignment horizontal="center"/>
    </xf>
    <xf numFmtId="0" fontId="5" fillId="3" borderId="7" xfId="11" applyFont="1" applyFill="1" applyBorder="1" applyAlignment="1">
      <alignment horizontal="center"/>
    </xf>
    <xf numFmtId="0" fontId="5" fillId="3" borderId="16" xfId="11" applyFont="1" applyFill="1" applyBorder="1" applyAlignment="1">
      <alignment horizontal="center"/>
    </xf>
    <xf numFmtId="0" fontId="5" fillId="3" borderId="4" xfId="11" applyFont="1" applyFill="1" applyBorder="1" applyAlignment="1">
      <alignment horizontal="center"/>
    </xf>
    <xf numFmtId="0" fontId="5" fillId="3" borderId="5" xfId="11" applyFont="1" applyFill="1" applyBorder="1" applyAlignment="1">
      <alignment horizontal="center"/>
    </xf>
    <xf numFmtId="0" fontId="5" fillId="3" borderId="2" xfId="11" applyFont="1" applyFill="1" applyBorder="1" applyAlignment="1">
      <alignment horizontal="center"/>
    </xf>
    <xf numFmtId="49" fontId="5" fillId="3" borderId="7" xfId="11" applyNumberFormat="1" applyFont="1" applyFill="1" applyBorder="1" applyAlignment="1">
      <alignment horizontal="center" wrapText="1"/>
    </xf>
    <xf numFmtId="49" fontId="5" fillId="3" borderId="15" xfId="11" applyNumberFormat="1" applyFont="1" applyFill="1" applyBorder="1" applyAlignment="1">
      <alignment horizontal="center" wrapText="1"/>
    </xf>
    <xf numFmtId="0" fontId="5" fillId="0" borderId="4" xfId="11" applyFont="1" applyBorder="1" applyAlignment="1">
      <alignment horizontal="center"/>
    </xf>
    <xf numFmtId="167" fontId="5" fillId="0" borderId="7" xfId="11" applyNumberFormat="1" applyFont="1" applyBorder="1"/>
    <xf numFmtId="0" fontId="21" fillId="0" borderId="6" xfId="11" applyFont="1" applyBorder="1" applyAlignment="1">
      <alignment horizontal="center"/>
    </xf>
    <xf numFmtId="167" fontId="21" fillId="0" borderId="7" xfId="11" applyNumberFormat="1" applyFont="1" applyBorder="1"/>
    <xf numFmtId="0" fontId="2" fillId="0" borderId="6" xfId="11" applyFont="1" applyBorder="1" applyAlignment="1">
      <alignment horizontal="left"/>
    </xf>
    <xf numFmtId="167" fontId="7" fillId="3" borderId="8" xfId="11" applyNumberFormat="1" applyFont="1" applyFill="1" applyBorder="1"/>
    <xf numFmtId="0" fontId="5" fillId="3" borderId="9" xfId="11" applyFont="1" applyFill="1" applyBorder="1" applyAlignment="1">
      <alignment horizontal="left"/>
    </xf>
    <xf numFmtId="167" fontId="5" fillId="0" borderId="10" xfId="12" applyNumberFormat="1" applyFont="1" applyFill="1" applyBorder="1"/>
    <xf numFmtId="0" fontId="2" fillId="0" borderId="12" xfId="11" applyFont="1" applyBorder="1" applyAlignment="1">
      <alignment horizontal="left"/>
    </xf>
    <xf numFmtId="167" fontId="7" fillId="0" borderId="10" xfId="11" applyNumberFormat="1" applyFont="1" applyBorder="1"/>
    <xf numFmtId="0" fontId="5" fillId="0" borderId="0" xfId="11" applyFont="1"/>
    <xf numFmtId="0" fontId="5" fillId="0" borderId="12" xfId="11" applyFont="1" applyBorder="1" applyAlignment="1">
      <alignment horizontal="left"/>
    </xf>
    <xf numFmtId="167" fontId="2" fillId="0" borderId="10" xfId="12" applyNumberFormat="1" applyFont="1" applyFill="1" applyBorder="1"/>
    <xf numFmtId="167" fontId="2" fillId="0" borderId="10" xfId="11" applyNumberFormat="1" applyFont="1" applyBorder="1"/>
    <xf numFmtId="0" fontId="5" fillId="0" borderId="9" xfId="11" applyFont="1" applyBorder="1" applyAlignment="1">
      <alignment horizontal="left"/>
    </xf>
    <xf numFmtId="167" fontId="7" fillId="0" borderId="8" xfId="11" applyNumberFormat="1" applyFont="1" applyBorder="1"/>
    <xf numFmtId="167" fontId="2" fillId="0" borderId="5" xfId="12" applyNumberFormat="1" applyFont="1" applyFill="1" applyBorder="1"/>
    <xf numFmtId="0" fontId="22" fillId="0" borderId="12" xfId="11" applyFont="1" applyBorder="1" applyAlignment="1">
      <alignment horizontal="left"/>
    </xf>
    <xf numFmtId="0" fontId="22" fillId="0" borderId="4" xfId="11" applyFont="1" applyBorder="1" applyAlignment="1">
      <alignment horizontal="left"/>
    </xf>
    <xf numFmtId="167" fontId="7" fillId="0" borderId="11" xfId="11" applyNumberFormat="1" applyFont="1" applyBorder="1"/>
    <xf numFmtId="167" fontId="2" fillId="0" borderId="11" xfId="12" applyNumberFormat="1" applyFont="1" applyFill="1" applyBorder="1"/>
    <xf numFmtId="168" fontId="2" fillId="0" borderId="4" xfId="11" applyNumberFormat="1" applyFont="1" applyBorder="1" applyAlignment="1">
      <alignment horizontal="left"/>
    </xf>
    <xf numFmtId="167" fontId="2" fillId="0" borderId="15" xfId="11" applyNumberFormat="1" applyFont="1" applyBorder="1"/>
    <xf numFmtId="167" fontId="7" fillId="0" borderId="13" xfId="11" applyNumberFormat="1" applyFont="1" applyBorder="1"/>
    <xf numFmtId="166" fontId="2" fillId="0" borderId="12" xfId="11" applyNumberFormat="1" applyFont="1" applyBorder="1" applyAlignment="1">
      <alignment horizontal="left"/>
    </xf>
    <xf numFmtId="0" fontId="2" fillId="0" borderId="4" xfId="11" applyFont="1" applyBorder="1" applyAlignment="1">
      <alignment horizontal="left"/>
    </xf>
    <xf numFmtId="167" fontId="23" fillId="0" borderId="11" xfId="11" applyNumberFormat="1" applyFont="1" applyBorder="1"/>
    <xf numFmtId="167" fontId="7" fillId="0" borderId="5" xfId="11" applyNumberFormat="1" applyFont="1" applyBorder="1"/>
    <xf numFmtId="0" fontId="5" fillId="3" borderId="12" xfId="11" applyFont="1" applyFill="1" applyBorder="1" applyAlignment="1">
      <alignment horizontal="left"/>
    </xf>
    <xf numFmtId="167" fontId="2" fillId="3" borderId="13" xfId="12" applyNumberFormat="1" applyFont="1" applyFill="1" applyBorder="1"/>
    <xf numFmtId="167" fontId="2" fillId="3" borderId="11" xfId="12" applyNumberFormat="1" applyFont="1" applyFill="1" applyBorder="1"/>
    <xf numFmtId="0" fontId="5" fillId="3" borderId="4" xfId="11" applyFont="1" applyFill="1" applyBorder="1" applyAlignment="1">
      <alignment horizontal="left"/>
    </xf>
    <xf numFmtId="167" fontId="2" fillId="3" borderId="15" xfId="12" applyNumberFormat="1" applyFont="1" applyFill="1" applyBorder="1"/>
    <xf numFmtId="0" fontId="2" fillId="0" borderId="2" xfId="11" applyFont="1" applyBorder="1"/>
    <xf numFmtId="0" fontId="5" fillId="3" borderId="6" xfId="11" applyFont="1" applyFill="1" applyBorder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17" xfId="0" applyFont="1" applyBorder="1" applyAlignment="1">
      <alignment horizontal="center"/>
    </xf>
    <xf numFmtId="49" fontId="3" fillId="0" borderId="0" xfId="3" applyNumberFormat="1" applyFont="1" applyAlignment="1">
      <alignment horizontal="left" wrapText="1"/>
    </xf>
    <xf numFmtId="0" fontId="4" fillId="0" borderId="18" xfId="0" applyFont="1" applyBorder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11" applyFont="1" applyAlignment="1">
      <alignment horizontal="center"/>
    </xf>
    <xf numFmtId="49" fontId="5" fillId="3" borderId="6" xfId="11" applyNumberFormat="1" applyFont="1" applyFill="1" applyBorder="1" applyAlignment="1">
      <alignment horizontal="center" wrapText="1"/>
    </xf>
    <xf numFmtId="49" fontId="5" fillId="3" borderId="16" xfId="11" applyNumberFormat="1" applyFont="1" applyFill="1" applyBorder="1" applyAlignment="1">
      <alignment horizontal="center" wrapText="1"/>
    </xf>
  </cellXfs>
  <cellStyles count="13">
    <cellStyle name="Euro" xfId="1" xr:uid="{A859AB64-C177-47CB-BE2F-94465B8FF14B}"/>
    <cellStyle name="Millares" xfId="2" builtinId="3"/>
    <cellStyle name="Normal" xfId="0" builtinId="0"/>
    <cellStyle name="Normal 2" xfId="3" xr:uid="{B0984A51-745D-43F5-9F8F-50D335AC0022}"/>
    <cellStyle name="Normal 3" xfId="4" xr:uid="{C0BDEEED-AB3D-4BC6-875B-404FF0B2B202}"/>
    <cellStyle name="Normal_Cuadro Resumen 05-06" xfId="5" xr:uid="{D4B12403-0E85-4C1C-B459-39190517D4A6}"/>
    <cellStyle name="Normal_Cuadro Resumen 05-06 2" xfId="11" xr:uid="{2DB0F2A1-F304-4305-B7BE-7BAF98BD2954}"/>
    <cellStyle name="Normal_Cuadro Resumen 05-06 2 2" xfId="6" xr:uid="{11B0DC42-6FBF-4B16-BD99-843BB44CD6E3}"/>
    <cellStyle name="Normal_plantilla para datos fiscales" xfId="7" xr:uid="{3962A0EF-CB5E-43C3-BB4D-D1672D7E2FD5}"/>
    <cellStyle name="Porcentaje" xfId="8" builtinId="5"/>
    <cellStyle name="Porcentual 2" xfId="12" xr:uid="{CF6D35FA-10BF-421B-BC0C-273EDE3CB14C}"/>
    <cellStyle name="Porcentual 2 10" xfId="9" xr:uid="{B29CDE77-2FA7-4B48-B225-830DBDD3EECC}"/>
    <cellStyle name="Porcentual 2 2" xfId="10" xr:uid="{E6864B82-390F-4904-A3B6-E1249572A9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257175</xdr:rowOff>
    </xdr:from>
    <xdr:to>
      <xdr:col>14</xdr:col>
      <xdr:colOff>495300</xdr:colOff>
      <xdr:row>4</xdr:row>
      <xdr:rowOff>104775</xdr:rowOff>
    </xdr:to>
    <xdr:pic>
      <xdr:nvPicPr>
        <xdr:cNvPr id="1861" name="Imagen 4">
          <a:extLst>
            <a:ext uri="{FF2B5EF4-FFF2-40B4-BE49-F238E27FC236}">
              <a16:creationId xmlns:a16="http://schemas.microsoft.com/office/drawing/2014/main" id="{5CA1B705-1908-DAEC-DE43-93B4A03C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15</xdr:col>
      <xdr:colOff>323850</xdr:colOff>
      <xdr:row>4</xdr:row>
      <xdr:rowOff>19050</xdr:rowOff>
    </xdr:to>
    <xdr:pic>
      <xdr:nvPicPr>
        <xdr:cNvPr id="2886" name="Imagen 4">
          <a:extLst>
            <a:ext uri="{FF2B5EF4-FFF2-40B4-BE49-F238E27FC236}">
              <a16:creationId xmlns:a16="http://schemas.microsoft.com/office/drawing/2014/main" id="{D7D4D31D-BD5A-06F7-D4B2-DA668731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104775</xdr:rowOff>
    </xdr:to>
    <xdr:pic>
      <xdr:nvPicPr>
        <xdr:cNvPr id="5517" name="Imagen 4">
          <a:extLst>
            <a:ext uri="{FF2B5EF4-FFF2-40B4-BE49-F238E27FC236}">
              <a16:creationId xmlns:a16="http://schemas.microsoft.com/office/drawing/2014/main" id="{B35DA733-ECB6-CF4E-4EF9-5E9F7FEB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18" name="Imagen 4">
          <a:extLst>
            <a:ext uri="{FF2B5EF4-FFF2-40B4-BE49-F238E27FC236}">
              <a16:creationId xmlns:a16="http://schemas.microsoft.com/office/drawing/2014/main" id="{4C225B8A-282B-1D76-A66B-E5104B77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19" name="Imagen 4">
          <a:extLst>
            <a:ext uri="{FF2B5EF4-FFF2-40B4-BE49-F238E27FC236}">
              <a16:creationId xmlns:a16="http://schemas.microsoft.com/office/drawing/2014/main" id="{58D6AF1F-5602-0FA4-58C6-7E2AB16E9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20" name="Imagen 4">
          <a:extLst>
            <a:ext uri="{FF2B5EF4-FFF2-40B4-BE49-F238E27FC236}">
              <a16:creationId xmlns:a16="http://schemas.microsoft.com/office/drawing/2014/main" id="{C5B8FC9F-20CD-30F8-AC3B-BECA7B91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21" name="Imagen 4">
          <a:extLst>
            <a:ext uri="{FF2B5EF4-FFF2-40B4-BE49-F238E27FC236}">
              <a16:creationId xmlns:a16="http://schemas.microsoft.com/office/drawing/2014/main" id="{A50FB7AF-0274-2890-3D68-4D9910D4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22" name="Imagen 4">
          <a:extLst>
            <a:ext uri="{FF2B5EF4-FFF2-40B4-BE49-F238E27FC236}">
              <a16:creationId xmlns:a16="http://schemas.microsoft.com/office/drawing/2014/main" id="{9A4ADF3F-5E11-6E2A-F0EB-39D95F56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23" name="Imagen 4">
          <a:extLst>
            <a:ext uri="{FF2B5EF4-FFF2-40B4-BE49-F238E27FC236}">
              <a16:creationId xmlns:a16="http://schemas.microsoft.com/office/drawing/2014/main" id="{5C2ED42A-497D-8FA4-361B-F7305670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0</xdr:row>
      <xdr:rowOff>152400</xdr:rowOff>
    </xdr:from>
    <xdr:to>
      <xdr:col>8</xdr:col>
      <xdr:colOff>1123950</xdr:colOff>
      <xdr:row>4</xdr:row>
      <xdr:rowOff>114300</xdr:rowOff>
    </xdr:to>
    <xdr:pic>
      <xdr:nvPicPr>
        <xdr:cNvPr id="5524" name="Imagen 4">
          <a:extLst>
            <a:ext uri="{FF2B5EF4-FFF2-40B4-BE49-F238E27FC236}">
              <a16:creationId xmlns:a16="http://schemas.microsoft.com/office/drawing/2014/main" id="{33E5FB5C-A8D1-23A3-762E-EA7D6330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2400"/>
          <a:ext cx="320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35F4-801F-4155-B882-09561F241270}">
  <dimension ref="A1:AQ88"/>
  <sheetViews>
    <sheetView workbookViewId="0">
      <pane xSplit="2" ySplit="7" topLeftCell="C64" activePane="bottomRight" state="frozen"/>
      <selection pane="topRight" activeCell="C1" sqref="C1"/>
      <selection pane="bottomLeft" activeCell="A8" sqref="A8"/>
      <selection pane="bottomRight" activeCell="B84" sqref="B84:Q84"/>
    </sheetView>
  </sheetViews>
  <sheetFormatPr baseColWidth="10" defaultColWidth="11.42578125" defaultRowHeight="12.75" x14ac:dyDescent="0.2"/>
  <cols>
    <col min="1" max="1" width="3.85546875" style="1" customWidth="1"/>
    <col min="2" max="2" width="39" style="1" customWidth="1"/>
    <col min="3" max="14" width="10" style="1" hidden="1" customWidth="1"/>
    <col min="15" max="15" width="10" style="1" customWidth="1"/>
    <col min="16" max="17" width="10" style="1" bestFit="1" customWidth="1"/>
    <col min="18" max="22" width="10" style="1" customWidth="1"/>
    <col min="23" max="23" width="6.7109375" style="8" hidden="1" customWidth="1"/>
    <col min="24" max="26" width="7.140625" style="8" hidden="1" customWidth="1"/>
    <col min="27" max="27" width="6.85546875" style="8" hidden="1" customWidth="1"/>
    <col min="28" max="28" width="6.28515625" style="8" hidden="1" customWidth="1"/>
    <col min="29" max="29" width="7.140625" style="8" hidden="1" customWidth="1"/>
    <col min="30" max="30" width="6.28515625" style="8" hidden="1" customWidth="1"/>
    <col min="31" max="32" width="7.140625" style="8" hidden="1" customWidth="1"/>
    <col min="33" max="34" width="7.140625" style="1" hidden="1" customWidth="1"/>
    <col min="35" max="35" width="6.7109375" style="1" customWidth="1"/>
    <col min="36" max="39" width="6.85546875" style="1" bestFit="1" customWidth="1"/>
    <col min="40" max="40" width="9.7109375" style="1" bestFit="1" customWidth="1"/>
    <col min="41" max="41" width="8" style="1" bestFit="1" customWidth="1"/>
    <col min="42" max="16384" width="11.42578125" style="1"/>
  </cols>
  <sheetData>
    <row r="1" spans="1:41" ht="21" customHeight="1" x14ac:dyDescent="0.2">
      <c r="S1" s="1" t="s">
        <v>89</v>
      </c>
      <c r="AG1" s="9"/>
    </row>
    <row r="2" spans="1:41" x14ac:dyDescent="0.2">
      <c r="A2" s="217" t="s">
        <v>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</row>
    <row r="3" spans="1:41" x14ac:dyDescent="0.2">
      <c r="A3" s="217" t="s">
        <v>92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</row>
    <row r="4" spans="1:41" x14ac:dyDescent="0.2">
      <c r="A4" s="218" t="s">
        <v>45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</row>
    <row r="5" spans="1:41" ht="13.5" thickBo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  <c r="AH5" s="10"/>
      <c r="AI5" s="10"/>
      <c r="AJ5" s="10"/>
      <c r="AK5" s="10"/>
      <c r="AL5" s="10"/>
      <c r="AM5" s="10"/>
      <c r="AN5" s="10"/>
      <c r="AO5" s="10"/>
    </row>
    <row r="6" spans="1:41" ht="13.5" thickTop="1" x14ac:dyDescent="0.2">
      <c r="C6" s="219" t="s">
        <v>51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 t="s">
        <v>20</v>
      </c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</row>
    <row r="7" spans="1:41" x14ac:dyDescent="0.2">
      <c r="B7" s="13" t="s">
        <v>0</v>
      </c>
      <c r="C7" s="14" t="s">
        <v>49</v>
      </c>
      <c r="D7" s="14">
        <v>2007</v>
      </c>
      <c r="E7" s="14">
        <v>2008</v>
      </c>
      <c r="F7" s="14">
        <v>2009</v>
      </c>
      <c r="G7" s="14">
        <v>2010</v>
      </c>
      <c r="H7" s="14">
        <v>2011</v>
      </c>
      <c r="I7" s="14" t="s">
        <v>48</v>
      </c>
      <c r="J7" s="14" t="s">
        <v>52</v>
      </c>
      <c r="K7" s="14" t="s">
        <v>53</v>
      </c>
      <c r="L7" s="14" t="s">
        <v>56</v>
      </c>
      <c r="M7" s="14" t="s">
        <v>60</v>
      </c>
      <c r="N7" s="14" t="s">
        <v>61</v>
      </c>
      <c r="O7" s="14" t="s">
        <v>64</v>
      </c>
      <c r="P7" s="14" t="s">
        <v>65</v>
      </c>
      <c r="Q7" s="14" t="s">
        <v>66</v>
      </c>
      <c r="R7" s="14" t="s">
        <v>67</v>
      </c>
      <c r="S7" s="14" t="s">
        <v>83</v>
      </c>
      <c r="T7" s="14" t="s">
        <v>88</v>
      </c>
      <c r="U7" s="14" t="s">
        <v>90</v>
      </c>
      <c r="V7" s="14" t="s">
        <v>93</v>
      </c>
      <c r="W7" s="14" t="s">
        <v>68</v>
      </c>
      <c r="X7" s="14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  <c r="AE7" s="14" t="s">
        <v>76</v>
      </c>
      <c r="AF7" s="14" t="s">
        <v>77</v>
      </c>
      <c r="AG7" s="14" t="s">
        <v>78</v>
      </c>
      <c r="AH7" s="14" t="s">
        <v>79</v>
      </c>
      <c r="AI7" s="14" t="s">
        <v>80</v>
      </c>
      <c r="AJ7" s="14" t="s">
        <v>81</v>
      </c>
      <c r="AK7" s="14" t="s">
        <v>82</v>
      </c>
      <c r="AL7" s="14" t="s">
        <v>84</v>
      </c>
      <c r="AM7" s="14" t="s">
        <v>87</v>
      </c>
      <c r="AN7" s="14" t="s">
        <v>91</v>
      </c>
      <c r="AO7" s="14" t="s">
        <v>95</v>
      </c>
    </row>
    <row r="8" spans="1:41" x14ac:dyDescent="0.2">
      <c r="C8" s="8"/>
      <c r="D8" s="8"/>
      <c r="J8" s="21"/>
      <c r="K8" s="21"/>
      <c r="N8" s="21"/>
    </row>
    <row r="9" spans="1:41" x14ac:dyDescent="0.2">
      <c r="A9" s="1">
        <v>1</v>
      </c>
      <c r="B9" s="3" t="s">
        <v>10</v>
      </c>
      <c r="C9" s="21">
        <f t="shared" ref="C9:O9" si="0">+C11+C34</f>
        <v>133074.34829743992</v>
      </c>
      <c r="D9" s="21">
        <f t="shared" si="0"/>
        <v>179073.34535577992</v>
      </c>
      <c r="E9" s="21">
        <f t="shared" si="0"/>
        <v>231576.19415683</v>
      </c>
      <c r="F9" s="21">
        <f t="shared" si="0"/>
        <v>214049.57569901997</v>
      </c>
      <c r="G9" s="21">
        <f t="shared" si="0"/>
        <v>217324.23084470004</v>
      </c>
      <c r="H9" s="21">
        <f t="shared" si="0"/>
        <v>218190.77417032997</v>
      </c>
      <c r="I9" s="21">
        <f t="shared" si="0"/>
        <v>239435.09318873999</v>
      </c>
      <c r="J9" s="21">
        <f t="shared" si="0"/>
        <v>273392.72665408003</v>
      </c>
      <c r="K9" s="21">
        <f t="shared" si="0"/>
        <v>278782.20336606994</v>
      </c>
      <c r="L9" s="21">
        <f t="shared" si="0"/>
        <v>306328.47236181004</v>
      </c>
      <c r="M9" s="21">
        <f t="shared" si="0"/>
        <v>341434.36497147998</v>
      </c>
      <c r="N9" s="21">
        <f t="shared" si="0"/>
        <v>321735.08722633001</v>
      </c>
      <c r="O9" s="21">
        <f t="shared" si="0"/>
        <v>354714.36606131005</v>
      </c>
      <c r="P9" s="21">
        <f t="shared" ref="P9:V9" si="1">+P11+P34</f>
        <v>368585.53705206001</v>
      </c>
      <c r="Q9" s="21">
        <f t="shared" si="1"/>
        <v>322501.81269861001</v>
      </c>
      <c r="R9" s="21">
        <f t="shared" si="1"/>
        <v>445804.69290112995</v>
      </c>
      <c r="S9" s="21">
        <f t="shared" si="1"/>
        <v>587884.81137068989</v>
      </c>
      <c r="T9" s="21">
        <f t="shared" si="1"/>
        <v>533930.13290896988</v>
      </c>
      <c r="U9" s="21">
        <f t="shared" si="1"/>
        <v>554874.50334421999</v>
      </c>
      <c r="V9" s="21">
        <f t="shared" si="1"/>
        <v>602682.57549072988</v>
      </c>
      <c r="W9" s="42">
        <f t="shared" ref="W9:AO9" si="2">+D9/C9-1</f>
        <v>0.34566389125217256</v>
      </c>
      <c r="X9" s="42">
        <f t="shared" si="2"/>
        <v>0.29319186893358307</v>
      </c>
      <c r="Y9" s="42">
        <f t="shared" si="2"/>
        <v>-7.5684024956125251E-2</v>
      </c>
      <c r="Z9" s="42">
        <f t="shared" si="2"/>
        <v>1.529858274647844E-2</v>
      </c>
      <c r="AA9" s="42">
        <f t="shared" si="2"/>
        <v>3.9873295410357557E-3</v>
      </c>
      <c r="AB9" s="42">
        <f t="shared" si="2"/>
        <v>9.7365798802408143E-2</v>
      </c>
      <c r="AC9" s="42">
        <f t="shared" si="2"/>
        <v>0.14182396161356436</v>
      </c>
      <c r="AD9" s="42">
        <f t="shared" si="2"/>
        <v>1.9713314168775087E-2</v>
      </c>
      <c r="AE9" s="42">
        <f t="shared" si="2"/>
        <v>9.880928073292039E-2</v>
      </c>
      <c r="AF9" s="42">
        <f t="shared" si="2"/>
        <v>0.11460212085086807</v>
      </c>
      <c r="AG9" s="42">
        <f t="shared" si="2"/>
        <v>-5.7695650368396412E-2</v>
      </c>
      <c r="AH9" s="42">
        <f t="shared" si="2"/>
        <v>0.10250445209222758</v>
      </c>
      <c r="AI9" s="42">
        <f t="shared" si="2"/>
        <v>3.9105185236147033E-2</v>
      </c>
      <c r="AJ9" s="42">
        <f t="shared" si="2"/>
        <v>-0.125028574702162</v>
      </c>
      <c r="AK9" s="42">
        <f t="shared" si="2"/>
        <v>0.38233236325326048</v>
      </c>
      <c r="AL9" s="42">
        <f t="shared" si="2"/>
        <v>0.31870485154598915</v>
      </c>
      <c r="AM9" s="42">
        <f t="shared" si="2"/>
        <v>-9.1777636397717632E-2</v>
      </c>
      <c r="AN9" s="42">
        <f t="shared" si="2"/>
        <v>3.9226799808320445E-2</v>
      </c>
      <c r="AO9" s="42">
        <f t="shared" si="2"/>
        <v>8.616015307672531E-2</v>
      </c>
    </row>
    <row r="10" spans="1:41" x14ac:dyDescent="0.2">
      <c r="B10" s="3"/>
      <c r="C10" s="6"/>
      <c r="D10" s="6"/>
      <c r="E10" s="6"/>
      <c r="F10" s="3"/>
      <c r="G10" s="3"/>
      <c r="H10" s="3"/>
      <c r="I10" s="3"/>
      <c r="J10" s="3"/>
      <c r="K10" s="3"/>
      <c r="L10" s="3"/>
      <c r="M10" s="3"/>
      <c r="N10" s="20"/>
      <c r="O10" s="20"/>
      <c r="P10" s="20"/>
      <c r="Q10" s="20"/>
      <c r="R10" s="20"/>
      <c r="S10" s="20"/>
      <c r="T10" s="20"/>
      <c r="U10" s="20"/>
      <c r="V10" s="20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x14ac:dyDescent="0.2">
      <c r="B11" s="3" t="s">
        <v>31</v>
      </c>
      <c r="C11" s="20">
        <f>+C12+C30+C31+C32</f>
        <v>133074.34829743992</v>
      </c>
      <c r="D11" s="20">
        <f t="shared" ref="D11:O11" si="3">+D12+D30+D31+D32</f>
        <v>179014.11331777993</v>
      </c>
      <c r="E11" s="20">
        <f t="shared" si="3"/>
        <v>231449.39415683001</v>
      </c>
      <c r="F11" s="20">
        <f t="shared" si="3"/>
        <v>214049.57569901997</v>
      </c>
      <c r="G11" s="20">
        <f t="shared" si="3"/>
        <v>217278.28084470003</v>
      </c>
      <c r="H11" s="20">
        <f t="shared" si="3"/>
        <v>218165.77417032997</v>
      </c>
      <c r="I11" s="20">
        <f t="shared" si="3"/>
        <v>239382.09318873999</v>
      </c>
      <c r="J11" s="20">
        <f t="shared" si="3"/>
        <v>273392.72665408003</v>
      </c>
      <c r="K11" s="20">
        <f t="shared" si="3"/>
        <v>278001.70336606994</v>
      </c>
      <c r="L11" s="20">
        <f t="shared" si="3"/>
        <v>306328.47236181004</v>
      </c>
      <c r="M11" s="20">
        <f t="shared" si="3"/>
        <v>341434.36497147998</v>
      </c>
      <c r="N11" s="20">
        <f t="shared" si="3"/>
        <v>321285.08722633001</v>
      </c>
      <c r="O11" s="20">
        <f t="shared" si="3"/>
        <v>354714.36606131005</v>
      </c>
      <c r="P11" s="20">
        <f t="shared" ref="P11:V11" si="4">+P12+P30+P31+P32</f>
        <v>344585.53705206001</v>
      </c>
      <c r="Q11" s="20">
        <f t="shared" si="4"/>
        <v>322501.81269861001</v>
      </c>
      <c r="R11" s="20">
        <f t="shared" si="4"/>
        <v>445804.69290112995</v>
      </c>
      <c r="S11" s="20">
        <f t="shared" si="4"/>
        <v>587884.81137068989</v>
      </c>
      <c r="T11" s="20">
        <f t="shared" si="4"/>
        <v>533930.13290896988</v>
      </c>
      <c r="U11" s="20">
        <f t="shared" si="4"/>
        <v>554874.50334421999</v>
      </c>
      <c r="V11" s="20">
        <f t="shared" si="4"/>
        <v>593863.17234258994</v>
      </c>
      <c r="W11" s="29">
        <f t="shared" ref="W11:W71" si="5">+D11/C11-1</f>
        <v>0.34521878640095349</v>
      </c>
      <c r="X11" s="29">
        <f t="shared" ref="X11:X32" si="6">+E11/D11-1</f>
        <v>0.29291143512226148</v>
      </c>
      <c r="Y11" s="29">
        <f t="shared" ref="Y11:Y32" si="7">+F11/E11-1</f>
        <v>-7.5177636654429669E-2</v>
      </c>
      <c r="Z11" s="29">
        <f t="shared" ref="Z11:Z32" si="8">+G11/F11-1</f>
        <v>1.5083912851198589E-2</v>
      </c>
      <c r="AA11" s="29">
        <f t="shared" ref="AA11:AA32" si="9">+H11/G11-1</f>
        <v>4.0845929108961343E-3</v>
      </c>
      <c r="AB11" s="29">
        <f t="shared" ref="AB11:AB32" si="10">+I11/H11-1</f>
        <v>9.7248613349615765E-2</v>
      </c>
      <c r="AC11" s="29">
        <f t="shared" ref="AC11:AC32" si="11">+J11/I11-1</f>
        <v>0.14207676527635882</v>
      </c>
      <c r="AD11" s="29">
        <f t="shared" ref="AD11:AD32" si="12">+K11/J11-1</f>
        <v>1.6858446705575902E-2</v>
      </c>
      <c r="AE11" s="29">
        <f t="shared" ref="AE11:AE32" si="13">+L11/K11-1</f>
        <v>0.10189422817470906</v>
      </c>
      <c r="AF11" s="29">
        <f t="shared" ref="AF11:AF32" si="14">+M11/L11-1</f>
        <v>0.11460212085086807</v>
      </c>
      <c r="AG11" s="29">
        <f t="shared" ref="AG11:AG32" si="15">+N11/M11-1</f>
        <v>-5.9013619636187009E-2</v>
      </c>
      <c r="AH11" s="29">
        <f t="shared" ref="AH11:AH32" si="16">+O11/N11-1</f>
        <v>0.10404864764678834</v>
      </c>
      <c r="AI11" s="29">
        <f t="shared" ref="AI11:AI32" si="17">+P11/O11-1</f>
        <v>-2.8554888040534965E-2</v>
      </c>
      <c r="AJ11" s="29">
        <f t="shared" ref="AJ11:AO12" si="18">+Q11/P11-1</f>
        <v>-6.4087786569270833E-2</v>
      </c>
      <c r="AK11" s="29">
        <f t="shared" si="18"/>
        <v>0.38233236325326048</v>
      </c>
      <c r="AL11" s="29">
        <f t="shared" si="18"/>
        <v>0.31870485154598915</v>
      </c>
      <c r="AM11" s="29">
        <f t="shared" si="18"/>
        <v>-9.1777636397717632E-2</v>
      </c>
      <c r="AN11" s="29">
        <f t="shared" si="18"/>
        <v>3.9226799808320445E-2</v>
      </c>
      <c r="AO11" s="29">
        <f t="shared" si="18"/>
        <v>7.0265742547883869E-2</v>
      </c>
    </row>
    <row r="12" spans="1:41" x14ac:dyDescent="0.2">
      <c r="B12" s="22" t="s">
        <v>30</v>
      </c>
      <c r="C12" s="6">
        <f>C13+C14+C17+C21+C24+C27</f>
        <v>128949.14080239991</v>
      </c>
      <c r="D12" s="6">
        <f t="shared" ref="D12:O12" si="19">D13+D14+D17+D21+D24+D27</f>
        <v>173097.22192871993</v>
      </c>
      <c r="E12" s="6">
        <f t="shared" si="19"/>
        <v>225263.63788384999</v>
      </c>
      <c r="F12" s="6">
        <f t="shared" si="19"/>
        <v>208244.30361628998</v>
      </c>
      <c r="G12" s="6">
        <f t="shared" si="19"/>
        <v>194379.54436544003</v>
      </c>
      <c r="H12" s="6">
        <f t="shared" si="19"/>
        <v>199039.71832484999</v>
      </c>
      <c r="I12" s="6">
        <f t="shared" si="19"/>
        <v>215947.15456669999</v>
      </c>
      <c r="J12" s="6">
        <f t="shared" si="19"/>
        <v>255512.27136866003</v>
      </c>
      <c r="K12" s="6">
        <f t="shared" si="19"/>
        <v>260237.24127596998</v>
      </c>
      <c r="L12" s="6">
        <f t="shared" si="19"/>
        <v>280614.37187958002</v>
      </c>
      <c r="M12" s="6">
        <f t="shared" si="19"/>
        <v>297827.70496225997</v>
      </c>
      <c r="N12" s="6">
        <f t="shared" si="19"/>
        <v>291373.54291182</v>
      </c>
      <c r="O12" s="6">
        <f t="shared" si="19"/>
        <v>326698.73784394003</v>
      </c>
      <c r="P12" s="6">
        <f>P13+P14+P17+P21+P24+P27</f>
        <v>325187.19877526001</v>
      </c>
      <c r="Q12" s="6">
        <f>Q13+Q14+Q17+Q21+Q24+Q27</f>
        <v>292719.84071369999</v>
      </c>
      <c r="R12" s="6">
        <f>R13+R14+R17+R21+R24+R27</f>
        <v>397007.17786194</v>
      </c>
      <c r="S12" s="6">
        <f>S13+S14+S17+S21+S24+S27+S28+S29</f>
        <v>529682.32925390988</v>
      </c>
      <c r="T12" s="6">
        <f>T13+T14+T17+T21+T24+T27+T28+T29</f>
        <v>472908.60290364997</v>
      </c>
      <c r="U12" s="6">
        <f>U13+U14+U17+U21+U24+U27+U28+U29</f>
        <v>493788.33816744998</v>
      </c>
      <c r="V12" s="6">
        <f>V13+V14+V17+V21+V24+V27+V28+V29</f>
        <v>524907.88319192</v>
      </c>
      <c r="W12" s="31">
        <f t="shared" si="5"/>
        <v>0.34236816819099247</v>
      </c>
      <c r="X12" s="31">
        <f t="shared" si="6"/>
        <v>0.30137061342678151</v>
      </c>
      <c r="Y12" s="31">
        <f t="shared" si="7"/>
        <v>-7.5552958424366268E-2</v>
      </c>
      <c r="Z12" s="31">
        <f t="shared" si="8"/>
        <v>-6.657929657656847E-2</v>
      </c>
      <c r="AA12" s="31">
        <f t="shared" si="9"/>
        <v>2.3974610984007105E-2</v>
      </c>
      <c r="AB12" s="31">
        <f t="shared" si="10"/>
        <v>8.4945037021483261E-2</v>
      </c>
      <c r="AC12" s="31">
        <f t="shared" si="11"/>
        <v>0.18321666187891128</v>
      </c>
      <c r="AD12" s="31">
        <f t="shared" si="12"/>
        <v>1.849214474905847E-2</v>
      </c>
      <c r="AE12" s="31">
        <f t="shared" si="13"/>
        <v>7.8302131177301337E-2</v>
      </c>
      <c r="AF12" s="31">
        <f t="shared" si="14"/>
        <v>6.1341594756474827E-2</v>
      </c>
      <c r="AG12" s="31">
        <f t="shared" si="15"/>
        <v>-2.1670791343128548E-2</v>
      </c>
      <c r="AH12" s="31">
        <f t="shared" si="16"/>
        <v>0.12123679651590979</v>
      </c>
      <c r="AI12" s="31">
        <f t="shared" si="17"/>
        <v>-4.6267061778551E-3</v>
      </c>
      <c r="AJ12" s="31">
        <f t="shared" si="18"/>
        <v>-9.9842054619125764E-2</v>
      </c>
      <c r="AK12" s="31">
        <f t="shared" si="18"/>
        <v>0.35627013493164661</v>
      </c>
      <c r="AL12" s="31">
        <f t="shared" si="18"/>
        <v>0.33418829378976089</v>
      </c>
      <c r="AM12" s="31">
        <f t="shared" si="18"/>
        <v>-0.107184482499594</v>
      </c>
      <c r="AN12" s="31">
        <f t="shared" si="18"/>
        <v>4.4151734892532879E-2</v>
      </c>
      <c r="AO12" s="31">
        <f t="shared" si="18"/>
        <v>6.3022033164981339E-2</v>
      </c>
    </row>
    <row r="13" spans="1:41" x14ac:dyDescent="0.2">
      <c r="B13" s="23" t="s">
        <v>23</v>
      </c>
      <c r="C13" s="6">
        <v>39296.321818579949</v>
      </c>
      <c r="D13" s="6">
        <v>49239.153848589922</v>
      </c>
      <c r="E13" s="6">
        <v>88827.938723179992</v>
      </c>
      <c r="F13" s="6">
        <v>74313.27657658</v>
      </c>
      <c r="G13" s="6">
        <v>61990.02033395999</v>
      </c>
      <c r="H13" s="6">
        <v>41526.555087000001</v>
      </c>
      <c r="I13" s="6">
        <v>51234.552967650001</v>
      </c>
      <c r="J13" s="6">
        <v>71389.366741970007</v>
      </c>
      <c r="K13" s="6">
        <v>75461.183243099993</v>
      </c>
      <c r="L13" s="6">
        <v>81035.151822040003</v>
      </c>
      <c r="M13" s="6">
        <v>99906.140130340005</v>
      </c>
      <c r="N13" s="6">
        <v>92671.997464899992</v>
      </c>
      <c r="O13" s="6">
        <v>100253.56689694</v>
      </c>
      <c r="P13" s="6">
        <v>116782.78404788999</v>
      </c>
      <c r="Q13" s="6">
        <v>108939.2222201</v>
      </c>
      <c r="R13" s="6">
        <v>143236.29613517999</v>
      </c>
      <c r="S13" s="6">
        <v>177160.41509154002</v>
      </c>
      <c r="T13" s="6">
        <v>167696.19158796</v>
      </c>
      <c r="U13" s="6">
        <v>167467.05510239</v>
      </c>
      <c r="V13" s="6">
        <v>191896.60665656</v>
      </c>
      <c r="W13" s="31">
        <f t="shared" si="5"/>
        <v>0.25302195141604411</v>
      </c>
      <c r="X13" s="31">
        <f t="shared" si="6"/>
        <v>0.80401025972796614</v>
      </c>
      <c r="Y13" s="31">
        <f t="shared" si="7"/>
        <v>-0.16340199215736539</v>
      </c>
      <c r="Z13" s="31">
        <f t="shared" si="8"/>
        <v>-0.16582846040869781</v>
      </c>
      <c r="AA13" s="31">
        <f t="shared" si="9"/>
        <v>-0.33010902620642457</v>
      </c>
      <c r="AB13" s="31">
        <f t="shared" si="10"/>
        <v>0.23377806948617108</v>
      </c>
      <c r="AC13" s="31">
        <f t="shared" si="11"/>
        <v>0.39338322688295824</v>
      </c>
      <c r="AD13" s="31">
        <f t="shared" si="12"/>
        <v>5.7036736519139764E-2</v>
      </c>
      <c r="AE13" s="31">
        <f t="shared" si="13"/>
        <v>7.3865374744831902E-2</v>
      </c>
      <c r="AF13" s="31">
        <f t="shared" si="14"/>
        <v>0.23287410320082169</v>
      </c>
      <c r="AG13" s="31">
        <f t="shared" si="15"/>
        <v>-7.2409390013488339E-2</v>
      </c>
      <c r="AH13" s="31">
        <f t="shared" si="16"/>
        <v>8.1810791171427644E-2</v>
      </c>
      <c r="AI13" s="31">
        <f t="shared" si="17"/>
        <v>0.16487410535668934</v>
      </c>
      <c r="AJ13" s="31">
        <f t="shared" ref="AJ13:AJ27" si="20">+Q13/P13-1</f>
        <v>-6.7163682487424881E-2</v>
      </c>
      <c r="AK13" s="31">
        <f t="shared" ref="AK13:AK27" si="21">+R13/Q13-1</f>
        <v>0.31482760034569046</v>
      </c>
      <c r="AL13" s="31">
        <f t="shared" ref="AL13:AL27" si="22">+S13/R13-1</f>
        <v>0.23684024141718929</v>
      </c>
      <c r="AM13" s="31">
        <f t="shared" ref="AM13:AO32" si="23">+T13/S13-1</f>
        <v>-5.3421773135323702E-2</v>
      </c>
      <c r="AN13" s="31">
        <f t="shared" si="23"/>
        <v>-1.3663785885668078E-3</v>
      </c>
      <c r="AO13" s="31">
        <f t="shared" si="23"/>
        <v>0.14587676089027579</v>
      </c>
    </row>
    <row r="14" spans="1:41" x14ac:dyDescent="0.2">
      <c r="B14" s="23" t="s">
        <v>24</v>
      </c>
      <c r="C14" s="6">
        <v>7751.9531902400049</v>
      </c>
      <c r="D14" s="6">
        <v>11333.57607036001</v>
      </c>
      <c r="E14" s="6">
        <v>14432.252521000002</v>
      </c>
      <c r="F14" s="6">
        <f t="shared" ref="F14:O14" si="24">+F15+F16</f>
        <v>10211.251032099999</v>
      </c>
      <c r="G14" s="6">
        <f t="shared" si="24"/>
        <v>10155.8484149</v>
      </c>
      <c r="H14" s="6">
        <f t="shared" si="24"/>
        <v>11528.149426060001</v>
      </c>
      <c r="I14" s="6">
        <f t="shared" si="24"/>
        <v>12532.62947242</v>
      </c>
      <c r="J14" s="6">
        <f t="shared" si="24"/>
        <v>12728.301465509998</v>
      </c>
      <c r="K14" s="6">
        <f t="shared" si="24"/>
        <v>14342.49857125</v>
      </c>
      <c r="L14" s="6">
        <f t="shared" si="24"/>
        <v>15683.58834045</v>
      </c>
      <c r="M14" s="6">
        <f t="shared" si="24"/>
        <v>14973.303876650001</v>
      </c>
      <c r="N14" s="6">
        <f t="shared" si="24"/>
        <v>13849.89194797</v>
      </c>
      <c r="O14" s="6">
        <f t="shared" si="24"/>
        <v>13645.726060829998</v>
      </c>
      <c r="P14" s="6">
        <f t="shared" ref="P14:V14" si="25">+P15+P16</f>
        <v>14225.95952932</v>
      </c>
      <c r="Q14" s="6">
        <f t="shared" si="25"/>
        <v>10424.503011879999</v>
      </c>
      <c r="R14" s="6">
        <f t="shared" si="25"/>
        <v>14461.00932042</v>
      </c>
      <c r="S14" s="6">
        <f t="shared" si="25"/>
        <v>17887.114803249999</v>
      </c>
      <c r="T14" s="6">
        <f t="shared" si="25"/>
        <v>14495.283854089999</v>
      </c>
      <c r="U14" s="6">
        <f t="shared" si="25"/>
        <v>16330.53410321</v>
      </c>
      <c r="V14" s="6">
        <f t="shared" si="25"/>
        <v>17219.869050699999</v>
      </c>
      <c r="W14" s="31">
        <f t="shared" si="5"/>
        <v>0.46202844524776032</v>
      </c>
      <c r="X14" s="31">
        <f t="shared" si="6"/>
        <v>0.27340677217879761</v>
      </c>
      <c r="Y14" s="31">
        <f t="shared" si="7"/>
        <v>-0.29247004116357667</v>
      </c>
      <c r="Z14" s="31">
        <f t="shared" si="8"/>
        <v>-5.4256444216126409E-3</v>
      </c>
      <c r="AA14" s="31">
        <f t="shared" si="9"/>
        <v>0.13512421169526823</v>
      </c>
      <c r="AB14" s="31">
        <f t="shared" si="10"/>
        <v>8.713280937262291E-2</v>
      </c>
      <c r="AC14" s="31">
        <f t="shared" si="11"/>
        <v>1.5613003920733837E-2</v>
      </c>
      <c r="AD14" s="31">
        <f t="shared" si="12"/>
        <v>0.12681952184382239</v>
      </c>
      <c r="AE14" s="31">
        <f t="shared" si="13"/>
        <v>9.35046123614931E-2</v>
      </c>
      <c r="AF14" s="31">
        <f t="shared" si="14"/>
        <v>-4.5288389900421167E-2</v>
      </c>
      <c r="AG14" s="31">
        <f t="shared" si="15"/>
        <v>-7.5027658420256715E-2</v>
      </c>
      <c r="AH14" s="31">
        <f t="shared" si="16"/>
        <v>-1.4741334293941977E-2</v>
      </c>
      <c r="AI14" s="31">
        <f t="shared" si="17"/>
        <v>4.2521260202896816E-2</v>
      </c>
      <c r="AJ14" s="31">
        <f t="shared" si="20"/>
        <v>-0.26721969155086656</v>
      </c>
      <c r="AK14" s="31">
        <f t="shared" si="21"/>
        <v>0.38721330925224051</v>
      </c>
      <c r="AL14" s="31">
        <f t="shared" si="22"/>
        <v>0.23692021814771169</v>
      </c>
      <c r="AM14" s="31">
        <f t="shared" si="23"/>
        <v>-0.18962426229543294</v>
      </c>
      <c r="AN14" s="31">
        <f t="shared" si="23"/>
        <v>0.12661016283597415</v>
      </c>
      <c r="AO14" s="31">
        <f t="shared" si="23"/>
        <v>5.4458411578540256E-2</v>
      </c>
    </row>
    <row r="15" spans="1:41" x14ac:dyDescent="0.2">
      <c r="B15" s="24" t="s">
        <v>35</v>
      </c>
      <c r="C15" s="6">
        <v>6201.3693468000056</v>
      </c>
      <c r="D15" s="6">
        <v>8983.3681757700033</v>
      </c>
      <c r="E15" s="6">
        <v>11399.396330750002</v>
      </c>
      <c r="F15" s="6">
        <v>8396.8311930399996</v>
      </c>
      <c r="G15" s="6">
        <v>8264.5461717300004</v>
      </c>
      <c r="H15" s="6">
        <v>9629.2043095000008</v>
      </c>
      <c r="I15" s="6">
        <v>10507.43851455</v>
      </c>
      <c r="J15" s="6">
        <v>10883.391887459999</v>
      </c>
      <c r="K15" s="6">
        <v>11934.23792293</v>
      </c>
      <c r="L15" s="6">
        <v>13292.35760114</v>
      </c>
      <c r="M15" s="6">
        <v>12690.576017580001</v>
      </c>
      <c r="N15" s="6">
        <v>11754.33943391</v>
      </c>
      <c r="O15" s="6">
        <v>11485.624557379999</v>
      </c>
      <c r="P15" s="6">
        <v>12255.835888879999</v>
      </c>
      <c r="Q15" s="6">
        <v>8949.0398433799983</v>
      </c>
      <c r="R15" s="6">
        <v>11819.70359144</v>
      </c>
      <c r="S15" s="6">
        <v>13551.22061018</v>
      </c>
      <c r="T15" s="6">
        <v>11772.28720121</v>
      </c>
      <c r="U15" s="6">
        <v>13558.9914501</v>
      </c>
      <c r="V15" s="6">
        <v>14187.725119340001</v>
      </c>
      <c r="W15" s="31">
        <f t="shared" si="5"/>
        <v>0.44861040737809765</v>
      </c>
      <c r="X15" s="31">
        <f t="shared" si="6"/>
        <v>0.26894457710155129</v>
      </c>
      <c r="Y15" s="31">
        <f t="shared" si="7"/>
        <v>-0.26339685458698792</v>
      </c>
      <c r="Z15" s="31">
        <f t="shared" si="8"/>
        <v>-1.5754159904946996E-2</v>
      </c>
      <c r="AA15" s="31">
        <f t="shared" si="9"/>
        <v>0.16512196912130506</v>
      </c>
      <c r="AB15" s="31">
        <f t="shared" si="10"/>
        <v>9.120527271225809E-2</v>
      </c>
      <c r="AC15" s="31">
        <f t="shared" si="11"/>
        <v>3.5779735697658799E-2</v>
      </c>
      <c r="AD15" s="31">
        <f t="shared" si="12"/>
        <v>9.6555012108017646E-2</v>
      </c>
      <c r="AE15" s="31">
        <f t="shared" si="13"/>
        <v>0.11380028511083728</v>
      </c>
      <c r="AF15" s="31">
        <f t="shared" si="14"/>
        <v>-4.5272750073199086E-2</v>
      </c>
      <c r="AG15" s="31">
        <f t="shared" si="15"/>
        <v>-7.3774159846885734E-2</v>
      </c>
      <c r="AH15" s="31">
        <f t="shared" si="16"/>
        <v>-2.2860908351411635E-2</v>
      </c>
      <c r="AI15" s="31">
        <f t="shared" si="17"/>
        <v>6.7058724377779377E-2</v>
      </c>
      <c r="AJ15" s="31">
        <f t="shared" si="20"/>
        <v>-0.26981399518415006</v>
      </c>
      <c r="AK15" s="31">
        <f t="shared" si="21"/>
        <v>0.32077896604556511</v>
      </c>
      <c r="AL15" s="31">
        <f t="shared" si="22"/>
        <v>0.14649411513110944</v>
      </c>
      <c r="AM15" s="31">
        <f t="shared" ref="AM15:AO16" si="26">+T15/S15-1</f>
        <v>-0.13127477296278556</v>
      </c>
      <c r="AN15" s="31">
        <f t="shared" si="26"/>
        <v>0.1517720574049839</v>
      </c>
      <c r="AO15" s="31">
        <f t="shared" si="26"/>
        <v>4.637023863860934E-2</v>
      </c>
    </row>
    <row r="16" spans="1:41" x14ac:dyDescent="0.2">
      <c r="B16" s="24" t="s">
        <v>36</v>
      </c>
      <c r="C16" s="6">
        <v>1550.5838434400011</v>
      </c>
      <c r="D16" s="6">
        <v>2350.2078945900012</v>
      </c>
      <c r="E16" s="6">
        <v>3032.8561902500005</v>
      </c>
      <c r="F16" s="6">
        <v>1814.41983906</v>
      </c>
      <c r="G16" s="6">
        <v>1891.3022431700001</v>
      </c>
      <c r="H16" s="6">
        <v>1898.9451165599999</v>
      </c>
      <c r="I16" s="6">
        <v>2025.1909578699999</v>
      </c>
      <c r="J16" s="6">
        <v>1844.9095780499999</v>
      </c>
      <c r="K16" s="6">
        <v>2408.2606483200002</v>
      </c>
      <c r="L16" s="6">
        <v>2391.23073931</v>
      </c>
      <c r="M16" s="6">
        <v>2282.7278590700002</v>
      </c>
      <c r="N16" s="6">
        <v>2095.5525140599998</v>
      </c>
      <c r="O16" s="6">
        <v>2160.1015034499997</v>
      </c>
      <c r="P16" s="6">
        <v>1970.1236404400001</v>
      </c>
      <c r="Q16" s="6">
        <v>1475.4631684999999</v>
      </c>
      <c r="R16" s="6">
        <v>2641.3057289799999</v>
      </c>
      <c r="S16" s="6">
        <v>4335.8941930699993</v>
      </c>
      <c r="T16" s="6">
        <v>2722.9966528800001</v>
      </c>
      <c r="U16" s="6">
        <v>2771.5426531100002</v>
      </c>
      <c r="V16" s="6">
        <v>3032.1439313600004</v>
      </c>
      <c r="W16" s="31">
        <f t="shared" si="5"/>
        <v>0.5156922371743653</v>
      </c>
      <c r="X16" s="31">
        <f t="shared" si="6"/>
        <v>0.29046294041961285</v>
      </c>
      <c r="Y16" s="31">
        <f t="shared" si="7"/>
        <v>-0.40174550811443654</v>
      </c>
      <c r="Z16" s="31">
        <f t="shared" si="8"/>
        <v>4.2372995739415442E-2</v>
      </c>
      <c r="AA16" s="31">
        <f t="shared" si="9"/>
        <v>4.0410639904859824E-3</v>
      </c>
      <c r="AB16" s="31">
        <f t="shared" si="10"/>
        <v>6.6482090613918521E-2</v>
      </c>
      <c r="AC16" s="31">
        <f t="shared" si="11"/>
        <v>-8.9019447336270652E-2</v>
      </c>
      <c r="AD16" s="31">
        <f t="shared" si="12"/>
        <v>0.30535429864559593</v>
      </c>
      <c r="AE16" s="31">
        <f t="shared" si="13"/>
        <v>-7.0714559164849478E-3</v>
      </c>
      <c r="AF16" s="31">
        <f t="shared" si="14"/>
        <v>-4.5375328468430731E-2</v>
      </c>
      <c r="AG16" s="31">
        <f t="shared" si="15"/>
        <v>-8.1996346724509284E-2</v>
      </c>
      <c r="AH16" s="31">
        <f t="shared" si="16"/>
        <v>3.0802849824526746E-2</v>
      </c>
      <c r="AI16" s="31">
        <f t="shared" si="17"/>
        <v>-8.7948581447018559E-2</v>
      </c>
      <c r="AJ16" s="31">
        <f t="shared" si="20"/>
        <v>-0.25108092801197213</v>
      </c>
      <c r="AK16" s="31">
        <f t="shared" si="21"/>
        <v>0.79015361777226234</v>
      </c>
      <c r="AL16" s="31">
        <f t="shared" si="22"/>
        <v>0.64157225174550447</v>
      </c>
      <c r="AM16" s="31">
        <f t="shared" si="26"/>
        <v>-0.37198729221019078</v>
      </c>
      <c r="AN16" s="31">
        <f t="shared" si="26"/>
        <v>1.7828152737042524E-2</v>
      </c>
      <c r="AO16" s="31">
        <f t="shared" si="26"/>
        <v>9.4027518558148282E-2</v>
      </c>
    </row>
    <row r="17" spans="2:41" x14ac:dyDescent="0.2">
      <c r="B17" s="23" t="s">
        <v>25</v>
      </c>
      <c r="C17" s="6">
        <v>104.67611524000006</v>
      </c>
      <c r="D17" s="6">
        <v>195.43615251999972</v>
      </c>
      <c r="E17" s="6">
        <v>314.31438834000028</v>
      </c>
      <c r="F17" s="6">
        <f>+F18+F19</f>
        <v>311.35535680000004</v>
      </c>
      <c r="G17" s="6">
        <f>+G18+G19</f>
        <v>315.59234914000001</v>
      </c>
      <c r="H17" s="6">
        <f>+H18+H19</f>
        <v>318.30954199000001</v>
      </c>
      <c r="I17" s="6">
        <f>+I18+I19</f>
        <v>301.17299522000002</v>
      </c>
      <c r="J17" s="6">
        <f t="shared" ref="J17:O17" si="27">+J18+J19+J20</f>
        <v>189.18017903999998</v>
      </c>
      <c r="K17" s="6">
        <f t="shared" si="27"/>
        <v>415.92479391999996</v>
      </c>
      <c r="L17" s="6">
        <f t="shared" si="27"/>
        <v>371.05830521000001</v>
      </c>
      <c r="M17" s="6">
        <f t="shared" si="27"/>
        <v>386.89241443999998</v>
      </c>
      <c r="N17" s="6">
        <f t="shared" si="27"/>
        <v>441.68764369999997</v>
      </c>
      <c r="O17" s="6">
        <f t="shared" si="27"/>
        <v>478.78052459000003</v>
      </c>
      <c r="P17" s="6">
        <f t="shared" ref="P17:V17" si="28">+P18+P19+P20</f>
        <v>538.38126088000001</v>
      </c>
      <c r="Q17" s="6">
        <f t="shared" si="28"/>
        <v>422.83469870000005</v>
      </c>
      <c r="R17" s="6">
        <f t="shared" si="28"/>
        <v>620.44704709999996</v>
      </c>
      <c r="S17" s="6">
        <f t="shared" si="28"/>
        <v>446.27321519999998</v>
      </c>
      <c r="T17" s="6">
        <f t="shared" si="28"/>
        <v>430.00702884999998</v>
      </c>
      <c r="U17" s="6">
        <f t="shared" si="28"/>
        <v>474.25744626999995</v>
      </c>
      <c r="V17" s="6">
        <f t="shared" si="28"/>
        <v>428.97790900000007</v>
      </c>
      <c r="W17" s="31">
        <f t="shared" si="5"/>
        <v>0.86705584241358413</v>
      </c>
      <c r="X17" s="31">
        <f t="shared" si="6"/>
        <v>0.60827147018172756</v>
      </c>
      <c r="Y17" s="31">
        <f t="shared" si="7"/>
        <v>-9.4142414403231012E-3</v>
      </c>
      <c r="Z17" s="31">
        <f t="shared" si="8"/>
        <v>1.3608220470481935E-2</v>
      </c>
      <c r="AA17" s="31">
        <f t="shared" si="9"/>
        <v>8.6098185124083848E-3</v>
      </c>
      <c r="AB17" s="31">
        <f t="shared" si="10"/>
        <v>-5.3836107654411269E-2</v>
      </c>
      <c r="AC17" s="31">
        <f t="shared" si="11"/>
        <v>-0.37185543842731261</v>
      </c>
      <c r="AD17" s="31">
        <f t="shared" si="12"/>
        <v>1.1985643317953381</v>
      </c>
      <c r="AE17" s="31">
        <f t="shared" si="13"/>
        <v>-0.10787163777168252</v>
      </c>
      <c r="AF17" s="31">
        <f t="shared" si="14"/>
        <v>4.2672833373285313E-2</v>
      </c>
      <c r="AG17" s="31">
        <f t="shared" si="15"/>
        <v>0.14162911242215048</v>
      </c>
      <c r="AH17" s="31">
        <f t="shared" si="16"/>
        <v>8.3979892621116825E-2</v>
      </c>
      <c r="AI17" s="31">
        <f t="shared" si="17"/>
        <v>0.12448446256463463</v>
      </c>
      <c r="AJ17" s="31">
        <f t="shared" si="20"/>
        <v>-0.21461846943026153</v>
      </c>
      <c r="AK17" s="31">
        <f t="shared" si="21"/>
        <v>0.46735130538613934</v>
      </c>
      <c r="AL17" s="31">
        <f t="shared" si="22"/>
        <v>-0.28072312168153113</v>
      </c>
      <c r="AM17" s="31">
        <f t="shared" si="23"/>
        <v>-3.6448941581022742E-2</v>
      </c>
      <c r="AN17" s="31">
        <f t="shared" si="23"/>
        <v>0.10290626536580616</v>
      </c>
      <c r="AO17" s="31">
        <f t="shared" si="23"/>
        <v>-9.5474594286542258E-2</v>
      </c>
    </row>
    <row r="18" spans="2:41" x14ac:dyDescent="0.2">
      <c r="B18" s="24" t="s">
        <v>37</v>
      </c>
      <c r="C18" s="6">
        <v>104.67611524000006</v>
      </c>
      <c r="D18" s="6">
        <v>13.911541629999988</v>
      </c>
      <c r="E18" s="6">
        <v>13.401165759999998</v>
      </c>
      <c r="F18" s="6">
        <v>11.39909201</v>
      </c>
      <c r="G18" s="6">
        <v>12.537735</v>
      </c>
      <c r="H18" s="6">
        <v>13.088346</v>
      </c>
      <c r="I18" s="6">
        <v>12.690694499999999</v>
      </c>
      <c r="J18" s="6">
        <v>11.0647395</v>
      </c>
      <c r="K18" s="6">
        <v>14.6885385</v>
      </c>
      <c r="L18" s="6">
        <v>12.411739499999999</v>
      </c>
      <c r="M18" s="6">
        <v>13.8748665</v>
      </c>
      <c r="N18" s="6">
        <v>15.290679000000001</v>
      </c>
      <c r="O18" s="6">
        <v>18.1587405</v>
      </c>
      <c r="P18" s="6">
        <v>19.324874999999999</v>
      </c>
      <c r="Q18" s="6">
        <v>15.6827205</v>
      </c>
      <c r="R18" s="6">
        <v>20.817513000000002</v>
      </c>
      <c r="S18" s="6">
        <v>12.676966500000001</v>
      </c>
      <c r="T18" s="6">
        <v>15.4833435</v>
      </c>
      <c r="U18" s="6">
        <v>17.864821500000001</v>
      </c>
      <c r="V18" s="6">
        <v>16.252331999999999</v>
      </c>
      <c r="W18" s="31">
        <f t="shared" si="5"/>
        <v>-0.86709917923392754</v>
      </c>
      <c r="X18" s="31">
        <f t="shared" si="6"/>
        <v>-3.668722587145723E-2</v>
      </c>
      <c r="Y18" s="31">
        <f t="shared" si="7"/>
        <v>-0.14939549184413625</v>
      </c>
      <c r="Z18" s="31">
        <f t="shared" si="8"/>
        <v>9.9888920012322968E-2</v>
      </c>
      <c r="AA18" s="31">
        <f t="shared" si="9"/>
        <v>4.3916305457086136E-2</v>
      </c>
      <c r="AB18" s="31">
        <f t="shared" si="10"/>
        <v>-3.0382104812938238E-2</v>
      </c>
      <c r="AC18" s="31">
        <f t="shared" si="11"/>
        <v>-0.12812182973910524</v>
      </c>
      <c r="AD18" s="31">
        <f t="shared" si="12"/>
        <v>0.32750874975411759</v>
      </c>
      <c r="AE18" s="31">
        <f t="shared" si="13"/>
        <v>-0.1550051422747063</v>
      </c>
      <c r="AF18" s="31">
        <f t="shared" si="14"/>
        <v>0.11788250953865087</v>
      </c>
      <c r="AG18" s="31">
        <f t="shared" si="15"/>
        <v>0.10204152234545827</v>
      </c>
      <c r="AH18" s="31">
        <f t="shared" si="16"/>
        <v>0.18756927014163338</v>
      </c>
      <c r="AI18" s="31">
        <f t="shared" si="17"/>
        <v>6.421890879491321E-2</v>
      </c>
      <c r="AJ18" s="31">
        <f t="shared" si="20"/>
        <v>-0.18846975724293169</v>
      </c>
      <c r="AK18" s="31">
        <f t="shared" si="21"/>
        <v>0.32741720417704312</v>
      </c>
      <c r="AL18" s="31">
        <f t="shared" si="22"/>
        <v>-0.39104318080646816</v>
      </c>
      <c r="AM18" s="31">
        <f t="shared" si="23"/>
        <v>0.22137606816267907</v>
      </c>
      <c r="AN18" s="31">
        <f t="shared" si="23"/>
        <v>0.15380902710063893</v>
      </c>
      <c r="AO18" s="31">
        <f t="shared" si="23"/>
        <v>-9.0260599581137857E-2</v>
      </c>
    </row>
    <row r="19" spans="2:41" x14ac:dyDescent="0.2">
      <c r="B19" s="24" t="s">
        <v>38</v>
      </c>
      <c r="C19" s="6">
        <v>0</v>
      </c>
      <c r="D19" s="6">
        <v>181.52461089000008</v>
      </c>
      <c r="E19" s="6">
        <v>300.91322258000037</v>
      </c>
      <c r="F19" s="6">
        <v>299.95626479000003</v>
      </c>
      <c r="G19" s="6">
        <v>303.05461414000001</v>
      </c>
      <c r="H19" s="6">
        <v>305.22119599000001</v>
      </c>
      <c r="I19" s="6">
        <v>288.48230072000001</v>
      </c>
      <c r="J19" s="6">
        <v>178.11543953999998</v>
      </c>
      <c r="K19" s="6">
        <v>256.37776792</v>
      </c>
      <c r="L19" s="6">
        <v>212.34028321</v>
      </c>
      <c r="M19" s="6">
        <v>244.42391669</v>
      </c>
      <c r="N19" s="6">
        <v>282.26176494999999</v>
      </c>
      <c r="O19" s="6">
        <v>333.09847184</v>
      </c>
      <c r="P19" s="6">
        <v>365.94731037999998</v>
      </c>
      <c r="Q19" s="6">
        <v>293.20362295000001</v>
      </c>
      <c r="R19" s="6">
        <v>417.16610735</v>
      </c>
      <c r="S19" s="6">
        <v>272.78719519999999</v>
      </c>
      <c r="T19" s="6">
        <v>271.87904085000002</v>
      </c>
      <c r="U19" s="6">
        <v>305.10169801999996</v>
      </c>
      <c r="V19" s="6">
        <v>268.39290225000002</v>
      </c>
      <c r="W19" s="120" t="e">
        <f>+D19/C19-1</f>
        <v>#DIV/0!</v>
      </c>
      <c r="X19" s="120">
        <f t="shared" si="6"/>
        <v>0.65769931198115694</v>
      </c>
      <c r="Y19" s="120">
        <f t="shared" si="7"/>
        <v>-3.1801785969903795E-3</v>
      </c>
      <c r="Z19" s="120">
        <f t="shared" si="8"/>
        <v>1.0329337019078899E-2</v>
      </c>
      <c r="AA19" s="120">
        <f t="shared" si="9"/>
        <v>7.1491465528359388E-3</v>
      </c>
      <c r="AB19" s="120">
        <f t="shared" si="10"/>
        <v>-5.4841850729621111E-2</v>
      </c>
      <c r="AC19" s="120">
        <f t="shared" si="11"/>
        <v>-0.38257758241855455</v>
      </c>
      <c r="AD19" s="31">
        <f t="shared" si="12"/>
        <v>0.43939104090088943</v>
      </c>
      <c r="AE19" s="31">
        <f t="shared" si="13"/>
        <v>-0.17176795424688085</v>
      </c>
      <c r="AF19" s="31">
        <f t="shared" si="14"/>
        <v>0.15109536916398469</v>
      </c>
      <c r="AG19" s="31">
        <f t="shared" si="15"/>
        <v>0.15480419744680418</v>
      </c>
      <c r="AH19" s="31">
        <f t="shared" si="16"/>
        <v>0.18010482893070989</v>
      </c>
      <c r="AI19" s="31">
        <f t="shared" si="17"/>
        <v>9.8615998922320314E-2</v>
      </c>
      <c r="AJ19" s="31">
        <f t="shared" si="20"/>
        <v>-0.19878186112220053</v>
      </c>
      <c r="AK19" s="31">
        <f t="shared" si="21"/>
        <v>0.42278633242243169</v>
      </c>
      <c r="AL19" s="31">
        <f t="shared" si="22"/>
        <v>-0.346094540295113</v>
      </c>
      <c r="AM19" s="31">
        <f t="shared" si="23"/>
        <v>-3.3291678127858049E-3</v>
      </c>
      <c r="AN19" s="31">
        <f t="shared" si="23"/>
        <v>0.12219646305258736</v>
      </c>
      <c r="AO19" s="31">
        <f t="shared" si="23"/>
        <v>-0.1203165895444922</v>
      </c>
    </row>
    <row r="20" spans="2:41" x14ac:dyDescent="0.2">
      <c r="B20" s="24" t="s">
        <v>54</v>
      </c>
      <c r="C20" s="6"/>
      <c r="D20" s="6"/>
      <c r="E20" s="6"/>
      <c r="F20" s="6"/>
      <c r="G20" s="6"/>
      <c r="H20" s="6"/>
      <c r="I20" s="6">
        <v>0</v>
      </c>
      <c r="J20" s="6">
        <v>0</v>
      </c>
      <c r="K20" s="6">
        <v>144.8584875</v>
      </c>
      <c r="L20" s="6">
        <v>146.30628250000001</v>
      </c>
      <c r="M20" s="6">
        <v>128.59363124999999</v>
      </c>
      <c r="N20" s="6">
        <v>144.13519975</v>
      </c>
      <c r="O20" s="6">
        <v>127.52331225</v>
      </c>
      <c r="P20" s="6">
        <v>153.10907549999999</v>
      </c>
      <c r="Q20" s="6">
        <v>113.94835525000001</v>
      </c>
      <c r="R20" s="6">
        <v>182.46342675</v>
      </c>
      <c r="S20" s="6">
        <v>160.8090535</v>
      </c>
      <c r="T20" s="6">
        <v>142.6446445</v>
      </c>
      <c r="U20" s="6">
        <v>151.29092675000001</v>
      </c>
      <c r="V20" s="6">
        <v>144.33267475</v>
      </c>
      <c r="W20" s="120" t="e">
        <f t="shared" si="5"/>
        <v>#DIV/0!</v>
      </c>
      <c r="X20" s="120" t="e">
        <f t="shared" si="6"/>
        <v>#DIV/0!</v>
      </c>
      <c r="Y20" s="120" t="e">
        <f t="shared" si="7"/>
        <v>#DIV/0!</v>
      </c>
      <c r="Z20" s="120" t="e">
        <f t="shared" si="8"/>
        <v>#DIV/0!</v>
      </c>
      <c r="AA20" s="120" t="e">
        <f t="shared" si="9"/>
        <v>#DIV/0!</v>
      </c>
      <c r="AB20" s="120" t="e">
        <f t="shared" si="10"/>
        <v>#DIV/0!</v>
      </c>
      <c r="AC20" s="120" t="e">
        <f t="shared" si="11"/>
        <v>#DIV/0!</v>
      </c>
      <c r="AD20" s="59" t="e">
        <f t="shared" si="12"/>
        <v>#DIV/0!</v>
      </c>
      <c r="AE20" s="31">
        <f t="shared" si="13"/>
        <v>9.9945472646192357E-3</v>
      </c>
      <c r="AF20" s="31">
        <f t="shared" si="14"/>
        <v>-0.12106555472079628</v>
      </c>
      <c r="AG20" s="31">
        <f t="shared" si="15"/>
        <v>0.12085799544602271</v>
      </c>
      <c r="AH20" s="31">
        <f t="shared" si="16"/>
        <v>-0.11525212112525618</v>
      </c>
      <c r="AI20" s="31">
        <f t="shared" si="17"/>
        <v>0.20063596842466724</v>
      </c>
      <c r="AJ20" s="31">
        <f t="shared" si="20"/>
        <v>-0.25577007843666322</v>
      </c>
      <c r="AK20" s="31">
        <f t="shared" si="21"/>
        <v>0.60128179428022044</v>
      </c>
      <c r="AL20" s="31">
        <f t="shared" si="22"/>
        <v>-0.11867788321036776</v>
      </c>
      <c r="AM20" s="31">
        <f t="shared" si="23"/>
        <v>-0.11295638276982956</v>
      </c>
      <c r="AN20" s="31">
        <f t="shared" si="23"/>
        <v>6.0614138584081267E-2</v>
      </c>
      <c r="AO20" s="31">
        <f t="shared" si="23"/>
        <v>-4.599252677920429E-2</v>
      </c>
    </row>
    <row r="21" spans="2:41" x14ac:dyDescent="0.2">
      <c r="B21" s="23" t="s">
        <v>26</v>
      </c>
      <c r="C21" s="6">
        <v>49892.021783249977</v>
      </c>
      <c r="D21" s="6">
        <v>65933.058090969978</v>
      </c>
      <c r="E21" s="6">
        <v>83867.447807229997</v>
      </c>
      <c r="F21" s="6">
        <f t="shared" ref="F21:O21" si="29">+F22+F23</f>
        <v>69279.997507809996</v>
      </c>
      <c r="G21" s="6">
        <f t="shared" si="29"/>
        <v>75531.322003990004</v>
      </c>
      <c r="H21" s="6">
        <f t="shared" si="29"/>
        <v>79705.706670779997</v>
      </c>
      <c r="I21" s="6">
        <f t="shared" si="29"/>
        <v>96143.724684240005</v>
      </c>
      <c r="J21" s="6">
        <f t="shared" si="29"/>
        <v>98580.213931899998</v>
      </c>
      <c r="K21" s="6">
        <f t="shared" si="29"/>
        <v>106338.23916712</v>
      </c>
      <c r="L21" s="6">
        <f t="shared" si="29"/>
        <v>112862.8419303</v>
      </c>
      <c r="M21" s="6">
        <f t="shared" si="29"/>
        <v>111449.04749694999</v>
      </c>
      <c r="N21" s="6">
        <f t="shared" si="29"/>
        <v>112371.32939435</v>
      </c>
      <c r="O21" s="6">
        <f t="shared" si="29"/>
        <v>120448.48142436001</v>
      </c>
      <c r="P21" s="6">
        <f t="shared" ref="P21:V21" si="30">+P22+P23</f>
        <v>128940.30382996</v>
      </c>
      <c r="Q21" s="6">
        <f t="shared" si="30"/>
        <v>123198.9552463</v>
      </c>
      <c r="R21" s="6">
        <f t="shared" si="30"/>
        <v>159781.72295137</v>
      </c>
      <c r="S21" s="6">
        <f t="shared" si="30"/>
        <v>214359.90000535001</v>
      </c>
      <c r="T21" s="6">
        <f t="shared" si="30"/>
        <v>186063.93971107001</v>
      </c>
      <c r="U21" s="6">
        <f t="shared" si="30"/>
        <v>206028.62371404003</v>
      </c>
      <c r="V21" s="6">
        <f t="shared" si="30"/>
        <v>209768.42775202001</v>
      </c>
      <c r="W21" s="31">
        <f t="shared" si="5"/>
        <v>0.32151505860813567</v>
      </c>
      <c r="X21" s="31">
        <f t="shared" si="6"/>
        <v>0.27200906852394691</v>
      </c>
      <c r="Y21" s="31">
        <f t="shared" si="7"/>
        <v>-0.17393459179715798</v>
      </c>
      <c r="Z21" s="31">
        <f t="shared" si="8"/>
        <v>9.0232747128423219E-2</v>
      </c>
      <c r="AA21" s="31">
        <f t="shared" si="9"/>
        <v>5.5266935041458298E-2</v>
      </c>
      <c r="AB21" s="31">
        <f t="shared" si="10"/>
        <v>0.20623389089762822</v>
      </c>
      <c r="AC21" s="31">
        <f t="shared" si="11"/>
        <v>2.5342155774201958E-2</v>
      </c>
      <c r="AD21" s="31">
        <f t="shared" si="12"/>
        <v>7.8697589767651621E-2</v>
      </c>
      <c r="AE21" s="31">
        <f t="shared" si="13"/>
        <v>6.1357069801823538E-2</v>
      </c>
      <c r="AF21" s="31">
        <f t="shared" si="14"/>
        <v>-1.2526659874674384E-2</v>
      </c>
      <c r="AG21" s="31">
        <f t="shared" si="15"/>
        <v>8.2753681445797422E-3</v>
      </c>
      <c r="AH21" s="31">
        <f t="shared" si="16"/>
        <v>7.1879117863458575E-2</v>
      </c>
      <c r="AI21" s="31">
        <f t="shared" si="17"/>
        <v>7.0501697532257657E-2</v>
      </c>
      <c r="AJ21" s="31">
        <f t="shared" si="20"/>
        <v>-4.4527183612281585E-2</v>
      </c>
      <c r="AK21" s="31">
        <f t="shared" si="21"/>
        <v>0.29694056765281451</v>
      </c>
      <c r="AL21" s="31">
        <f t="shared" si="22"/>
        <v>0.34157960025622591</v>
      </c>
      <c r="AM21" s="31">
        <f t="shared" si="23"/>
        <v>-0.13200211557093366</v>
      </c>
      <c r="AN21" s="31">
        <f t="shared" si="23"/>
        <v>0.1073001250751342</v>
      </c>
      <c r="AO21" s="31">
        <f t="shared" si="23"/>
        <v>1.8151866330819555E-2</v>
      </c>
    </row>
    <row r="22" spans="2:41" x14ac:dyDescent="0.2">
      <c r="B22" s="24" t="s">
        <v>27</v>
      </c>
      <c r="C22" s="6">
        <v>23577.190632989979</v>
      </c>
      <c r="D22" s="6">
        <v>30476.724866879988</v>
      </c>
      <c r="E22" s="6">
        <v>35728.54529145002</v>
      </c>
      <c r="F22" s="6">
        <v>36691.053897149999</v>
      </c>
      <c r="G22" s="6">
        <v>38485.272679550006</v>
      </c>
      <c r="H22" s="6">
        <v>38150.887154529999</v>
      </c>
      <c r="I22" s="6">
        <v>49594.356232669998</v>
      </c>
      <c r="J22" s="6">
        <v>52296.285069580001</v>
      </c>
      <c r="K22" s="6">
        <v>53805.69749233</v>
      </c>
      <c r="L22" s="6">
        <v>55533.173423239998</v>
      </c>
      <c r="M22" s="6">
        <v>57025.258557089997</v>
      </c>
      <c r="N22" s="6">
        <v>59567.44344707</v>
      </c>
      <c r="O22" s="6">
        <v>61074.435167600001</v>
      </c>
      <c r="P22" s="6">
        <v>70319.897654829998</v>
      </c>
      <c r="Q22" s="6">
        <v>76376.885659259991</v>
      </c>
      <c r="R22" s="6">
        <v>93658.24407724</v>
      </c>
      <c r="S22" s="6">
        <v>124765.82560113001</v>
      </c>
      <c r="T22" s="6">
        <v>113171.42980008</v>
      </c>
      <c r="U22" s="6">
        <v>129209.70528313001</v>
      </c>
      <c r="V22" s="6">
        <v>130446.13639757001</v>
      </c>
      <c r="W22" s="31">
        <f t="shared" si="5"/>
        <v>0.29263597776725581</v>
      </c>
      <c r="X22" s="31">
        <f t="shared" si="6"/>
        <v>0.1723223360616859</v>
      </c>
      <c r="Y22" s="31">
        <f t="shared" si="7"/>
        <v>2.6939484881023379E-2</v>
      </c>
      <c r="Z22" s="31">
        <f t="shared" si="8"/>
        <v>4.8900715346837487E-2</v>
      </c>
      <c r="AA22" s="31">
        <f t="shared" si="9"/>
        <v>-8.6886619669890308E-3</v>
      </c>
      <c r="AB22" s="31">
        <f t="shared" si="10"/>
        <v>0.29995289576853823</v>
      </c>
      <c r="AC22" s="31">
        <f t="shared" si="11"/>
        <v>5.4480570818058682E-2</v>
      </c>
      <c r="AD22" s="31">
        <f t="shared" si="12"/>
        <v>2.8862708330844811E-2</v>
      </c>
      <c r="AE22" s="31">
        <f t="shared" si="13"/>
        <v>3.2105817997364561E-2</v>
      </c>
      <c r="AF22" s="31">
        <f t="shared" si="14"/>
        <v>2.6868357089522732E-2</v>
      </c>
      <c r="AG22" s="31">
        <f t="shared" si="15"/>
        <v>4.457998007032149E-2</v>
      </c>
      <c r="AH22" s="31">
        <f t="shared" si="16"/>
        <v>2.529891553712682E-2</v>
      </c>
      <c r="AI22" s="31">
        <f t="shared" si="17"/>
        <v>0.15138023727699923</v>
      </c>
      <c r="AJ22" s="31">
        <f t="shared" si="20"/>
        <v>8.6134767063529072E-2</v>
      </c>
      <c r="AK22" s="31">
        <f t="shared" si="21"/>
        <v>0.22626424563941105</v>
      </c>
      <c r="AL22" s="31">
        <f t="shared" si="22"/>
        <v>0.33213927754438322</v>
      </c>
      <c r="AM22" s="31">
        <f t="shared" si="23"/>
        <v>-9.2929259636502559E-2</v>
      </c>
      <c r="AN22" s="31">
        <f t="shared" si="23"/>
        <v>0.14171664625411196</v>
      </c>
      <c r="AO22" s="31">
        <f t="shared" si="23"/>
        <v>9.5691814460119318E-3</v>
      </c>
    </row>
    <row r="23" spans="2:41" x14ac:dyDescent="0.2">
      <c r="B23" s="24" t="s">
        <v>28</v>
      </c>
      <c r="C23" s="6">
        <v>26314.831150260026</v>
      </c>
      <c r="D23" s="6">
        <v>35456.333224089991</v>
      </c>
      <c r="E23" s="6">
        <v>48138.902515779977</v>
      </c>
      <c r="F23" s="6">
        <v>32588.943610660001</v>
      </c>
      <c r="G23" s="6">
        <v>37046.049324440006</v>
      </c>
      <c r="H23" s="6">
        <v>41554.819516249998</v>
      </c>
      <c r="I23" s="6">
        <v>46549.368451570001</v>
      </c>
      <c r="J23" s="6">
        <v>46283.928862319997</v>
      </c>
      <c r="K23" s="6">
        <v>52532.541674790002</v>
      </c>
      <c r="L23" s="6">
        <v>57329.66850706</v>
      </c>
      <c r="M23" s="6">
        <v>54423.788939860002</v>
      </c>
      <c r="N23" s="6">
        <v>52803.885947279996</v>
      </c>
      <c r="O23" s="6">
        <v>59374.046256760004</v>
      </c>
      <c r="P23" s="6">
        <v>58620.406175129996</v>
      </c>
      <c r="Q23" s="6">
        <v>46822.069587040001</v>
      </c>
      <c r="R23" s="6">
        <v>66123.47887413</v>
      </c>
      <c r="S23" s="6">
        <v>89594.074404219995</v>
      </c>
      <c r="T23" s="6">
        <v>72892.509910990004</v>
      </c>
      <c r="U23" s="6">
        <v>76818.918430910009</v>
      </c>
      <c r="V23" s="6">
        <v>79322.29135444999</v>
      </c>
      <c r="W23" s="31">
        <f t="shared" si="5"/>
        <v>0.34738972945071067</v>
      </c>
      <c r="X23" s="31">
        <f t="shared" si="6"/>
        <v>0.35769545631055566</v>
      </c>
      <c r="Y23" s="31">
        <f t="shared" si="7"/>
        <v>-0.32302271328314325</v>
      </c>
      <c r="Z23" s="31">
        <f t="shared" si="8"/>
        <v>0.13676741925203317</v>
      </c>
      <c r="AA23" s="31">
        <f t="shared" si="9"/>
        <v>0.12170717995658098</v>
      </c>
      <c r="AB23" s="31">
        <f t="shared" si="10"/>
        <v>0.12019180912016436</v>
      </c>
      <c r="AC23" s="31">
        <f t="shared" si="11"/>
        <v>-5.7023241792456547E-3</v>
      </c>
      <c r="AD23" s="31">
        <f t="shared" si="12"/>
        <v>0.13500610181684536</v>
      </c>
      <c r="AE23" s="31">
        <f t="shared" si="13"/>
        <v>9.1317242214688177E-2</v>
      </c>
      <c r="AF23" s="31">
        <f t="shared" si="14"/>
        <v>-5.0687185934838341E-2</v>
      </c>
      <c r="AG23" s="31">
        <f t="shared" si="15"/>
        <v>-2.9764612573557669E-2</v>
      </c>
      <c r="AH23" s="31">
        <f t="shared" si="16"/>
        <v>0.12442569692767935</v>
      </c>
      <c r="AI23" s="31">
        <f t="shared" si="17"/>
        <v>-1.2693089475002806E-2</v>
      </c>
      <c r="AJ23" s="31">
        <f t="shared" si="20"/>
        <v>-0.20126671508965932</v>
      </c>
      <c r="AK23" s="31">
        <f t="shared" si="21"/>
        <v>0.41222887961433652</v>
      </c>
      <c r="AL23" s="31">
        <f t="shared" si="22"/>
        <v>0.35495100877507779</v>
      </c>
      <c r="AM23" s="31">
        <f t="shared" si="23"/>
        <v>-0.1864137176960815</v>
      </c>
      <c r="AN23" s="31">
        <f t="shared" si="23"/>
        <v>5.3865733594776755E-2</v>
      </c>
      <c r="AO23" s="31">
        <f t="shared" si="23"/>
        <v>3.2587974091193184E-2</v>
      </c>
    </row>
    <row r="24" spans="2:41" x14ac:dyDescent="0.2">
      <c r="B24" s="23" t="s">
        <v>29</v>
      </c>
      <c r="C24" s="6">
        <v>9444.6332747499982</v>
      </c>
      <c r="D24" s="6">
        <v>13569.739748640015</v>
      </c>
      <c r="E24" s="6">
        <v>15337.114462069978</v>
      </c>
      <c r="F24" s="6">
        <f t="shared" ref="F24:O24" si="31">+F25+F26</f>
        <v>10015.423143</v>
      </c>
      <c r="G24" s="6">
        <f t="shared" si="31"/>
        <v>13291.50522608</v>
      </c>
      <c r="H24" s="6">
        <f t="shared" si="31"/>
        <v>13871.321612020001</v>
      </c>
      <c r="I24" s="6">
        <f t="shared" si="31"/>
        <v>13765.39220715</v>
      </c>
      <c r="J24" s="6">
        <f t="shared" si="31"/>
        <v>15499.577640850001</v>
      </c>
      <c r="K24" s="6">
        <f t="shared" si="31"/>
        <v>15154.570117939998</v>
      </c>
      <c r="L24" s="6">
        <f t="shared" si="31"/>
        <v>19429.92098829</v>
      </c>
      <c r="M24" s="6">
        <f t="shared" si="31"/>
        <v>19228.641667899999</v>
      </c>
      <c r="N24" s="6">
        <f t="shared" si="31"/>
        <v>16886.763856649999</v>
      </c>
      <c r="O24" s="6">
        <f t="shared" si="31"/>
        <v>15720.411428199999</v>
      </c>
      <c r="P24" s="6">
        <f t="shared" ref="P24:V24" si="32">+P25+P26</f>
        <v>14801.36908688</v>
      </c>
      <c r="Q24" s="6">
        <f t="shared" si="32"/>
        <v>8539.8286470399999</v>
      </c>
      <c r="R24" s="6">
        <f t="shared" si="32"/>
        <v>15425.783044360001</v>
      </c>
      <c r="S24" s="6">
        <f t="shared" si="32"/>
        <v>23913.159322279997</v>
      </c>
      <c r="T24" s="6">
        <f t="shared" si="32"/>
        <v>23099.418194779999</v>
      </c>
      <c r="U24" s="6">
        <f t="shared" si="32"/>
        <v>25352.246884010001</v>
      </c>
      <c r="V24" s="6">
        <f t="shared" si="32"/>
        <v>23559.27399116</v>
      </c>
      <c r="W24" s="31">
        <f t="shared" si="5"/>
        <v>0.43676724695265734</v>
      </c>
      <c r="X24" s="31">
        <f t="shared" si="6"/>
        <v>0.13024381794846818</v>
      </c>
      <c r="Y24" s="31">
        <f t="shared" si="7"/>
        <v>-0.34698126119036177</v>
      </c>
      <c r="Z24" s="31">
        <f t="shared" si="8"/>
        <v>0.32710371157605311</v>
      </c>
      <c r="AA24" s="31">
        <f t="shared" si="9"/>
        <v>4.362307925834541E-2</v>
      </c>
      <c r="AB24" s="31">
        <f t="shared" si="10"/>
        <v>-7.6365762277625926E-3</v>
      </c>
      <c r="AC24" s="31">
        <f t="shared" si="11"/>
        <v>0.12598154906180103</v>
      </c>
      <c r="AD24" s="31">
        <f t="shared" si="12"/>
        <v>-2.2259156404411673E-2</v>
      </c>
      <c r="AE24" s="31">
        <f t="shared" si="13"/>
        <v>0.28211627496373759</v>
      </c>
      <c r="AF24" s="31">
        <f t="shared" si="14"/>
        <v>-1.0359245439613862E-2</v>
      </c>
      <c r="AG24" s="31">
        <f t="shared" si="15"/>
        <v>-0.12179112033480222</v>
      </c>
      <c r="AH24" s="31">
        <f t="shared" si="16"/>
        <v>-6.9069031719223739E-2</v>
      </c>
      <c r="AI24" s="31">
        <f t="shared" si="17"/>
        <v>-5.846172318819709E-2</v>
      </c>
      <c r="AJ24" s="31">
        <f t="shared" si="20"/>
        <v>-0.42303792325469802</v>
      </c>
      <c r="AK24" s="31">
        <f t="shared" si="21"/>
        <v>0.80633402400957421</v>
      </c>
      <c r="AL24" s="31">
        <f t="shared" si="22"/>
        <v>0.55020715989021785</v>
      </c>
      <c r="AM24" s="31">
        <f t="shared" si="23"/>
        <v>-3.4029009573060987E-2</v>
      </c>
      <c r="AN24" s="31">
        <f t="shared" si="23"/>
        <v>9.7527507846024264E-2</v>
      </c>
      <c r="AO24" s="31">
        <f t="shared" si="23"/>
        <v>-7.0722445274894019E-2</v>
      </c>
    </row>
    <row r="25" spans="2:41" x14ac:dyDescent="0.2">
      <c r="B25" s="24" t="s">
        <v>27</v>
      </c>
      <c r="C25" s="6">
        <v>1352.7039098899986</v>
      </c>
      <c r="D25" s="6">
        <v>1512.3896429999986</v>
      </c>
      <c r="E25" s="6">
        <v>1618.5016950000008</v>
      </c>
      <c r="F25" s="6">
        <v>2124.3705875800001</v>
      </c>
      <c r="G25" s="49">
        <v>1985.71905382</v>
      </c>
      <c r="H25" s="49">
        <v>2030.40562209</v>
      </c>
      <c r="I25" s="49">
        <v>993.95966987999998</v>
      </c>
      <c r="J25" s="6">
        <v>3018.0394397300001</v>
      </c>
      <c r="K25" s="6">
        <v>1098.38905626</v>
      </c>
      <c r="L25" s="6">
        <v>1323.78831672</v>
      </c>
      <c r="M25" s="6">
        <v>1187.37259546</v>
      </c>
      <c r="N25" s="49">
        <v>1683.79209732</v>
      </c>
      <c r="O25" s="49">
        <v>702.60516903999996</v>
      </c>
      <c r="P25" s="49">
        <v>747.80858289000003</v>
      </c>
      <c r="Q25" s="49">
        <v>697.12611300000003</v>
      </c>
      <c r="R25" s="49">
        <v>758.56973800000003</v>
      </c>
      <c r="S25" s="49">
        <v>954.386077</v>
      </c>
      <c r="T25" s="49">
        <v>834.77188899999999</v>
      </c>
      <c r="U25" s="49">
        <v>811.08335199999999</v>
      </c>
      <c r="V25" s="49">
        <v>744.79693699999996</v>
      </c>
      <c r="W25" s="31">
        <f t="shared" si="5"/>
        <v>0.11804928775801771</v>
      </c>
      <c r="X25" s="31">
        <f t="shared" si="6"/>
        <v>7.0161847835400915E-2</v>
      </c>
      <c r="Y25" s="31">
        <f t="shared" si="7"/>
        <v>0.31255382317038549</v>
      </c>
      <c r="Z25" s="31">
        <f t="shared" si="8"/>
        <v>-6.5267112325230636E-2</v>
      </c>
      <c r="AA25" s="31">
        <f t="shared" si="9"/>
        <v>2.2503973149693435E-2</v>
      </c>
      <c r="AB25" s="31">
        <f t="shared" si="10"/>
        <v>-0.51046251100464024</v>
      </c>
      <c r="AC25" s="31">
        <f t="shared" si="11"/>
        <v>2.0363801783772231</v>
      </c>
      <c r="AD25" s="31">
        <f t="shared" si="12"/>
        <v>-0.63605874668149998</v>
      </c>
      <c r="AE25" s="31">
        <f t="shared" si="13"/>
        <v>0.20520894593349426</v>
      </c>
      <c r="AF25" s="31">
        <f t="shared" si="14"/>
        <v>-0.10304949782152661</v>
      </c>
      <c r="AG25" s="31">
        <f t="shared" si="15"/>
        <v>0.41808233048168186</v>
      </c>
      <c r="AH25" s="31">
        <f t="shared" si="16"/>
        <v>-0.58272451203548337</v>
      </c>
      <c r="AI25" s="31">
        <f t="shared" si="17"/>
        <v>6.4336864916270775E-2</v>
      </c>
      <c r="AJ25" s="31">
        <f t="shared" si="20"/>
        <v>-6.7774656576060188E-2</v>
      </c>
      <c r="AK25" s="31">
        <f t="shared" si="21"/>
        <v>8.8138464266651173E-2</v>
      </c>
      <c r="AL25" s="31">
        <f t="shared" si="22"/>
        <v>0.25813887529481172</v>
      </c>
      <c r="AM25" s="31">
        <f t="shared" si="23"/>
        <v>-0.12533102785404526</v>
      </c>
      <c r="AN25" s="31">
        <f t="shared" si="23"/>
        <v>-2.8377257682188239E-2</v>
      </c>
      <c r="AO25" s="31">
        <f t="shared" si="23"/>
        <v>-8.1725774344336477E-2</v>
      </c>
    </row>
    <row r="26" spans="2:41" x14ac:dyDescent="0.2">
      <c r="B26" s="24" t="s">
        <v>28</v>
      </c>
      <c r="C26" s="6">
        <v>8091.9293648599996</v>
      </c>
      <c r="D26" s="6">
        <v>12057.350105640013</v>
      </c>
      <c r="E26" s="6">
        <v>13718.612767069979</v>
      </c>
      <c r="F26" s="6">
        <v>7891.0525554200003</v>
      </c>
      <c r="G26" s="49">
        <v>11305.786172260001</v>
      </c>
      <c r="H26" s="49">
        <v>11840.915989930001</v>
      </c>
      <c r="I26" s="49">
        <v>12771.43253727</v>
      </c>
      <c r="J26" s="6">
        <v>12481.53820112</v>
      </c>
      <c r="K26" s="49">
        <v>14056.181061679999</v>
      </c>
      <c r="L26" s="49">
        <v>18106.132671569998</v>
      </c>
      <c r="M26" s="49">
        <v>18041.269072439998</v>
      </c>
      <c r="N26" s="49">
        <v>15202.971759329999</v>
      </c>
      <c r="O26" s="49">
        <v>15017.806259159999</v>
      </c>
      <c r="P26" s="49">
        <v>14053.56050399</v>
      </c>
      <c r="Q26" s="49">
        <v>7842.7025340399996</v>
      </c>
      <c r="R26" s="49">
        <v>14667.213306360001</v>
      </c>
      <c r="S26" s="49">
        <v>22958.773245279997</v>
      </c>
      <c r="T26" s="49">
        <v>22264.646305779999</v>
      </c>
      <c r="U26" s="49">
        <v>24541.163532009999</v>
      </c>
      <c r="V26" s="49">
        <v>22814.477054160001</v>
      </c>
      <c r="W26" s="31">
        <f t="shared" si="5"/>
        <v>0.49004638597072336</v>
      </c>
      <c r="X26" s="31">
        <f t="shared" si="6"/>
        <v>0.13778007994085573</v>
      </c>
      <c r="Y26" s="31">
        <f t="shared" si="7"/>
        <v>-0.42479223742202243</v>
      </c>
      <c r="Z26" s="31">
        <f t="shared" si="8"/>
        <v>0.4327348719144668</v>
      </c>
      <c r="AA26" s="31">
        <f t="shared" si="9"/>
        <v>4.73323844548732E-2</v>
      </c>
      <c r="AB26" s="31">
        <f t="shared" si="10"/>
        <v>7.8584844967344525E-2</v>
      </c>
      <c r="AC26" s="31">
        <f t="shared" si="11"/>
        <v>-2.2698654618737657E-2</v>
      </c>
      <c r="AD26" s="31">
        <f t="shared" si="12"/>
        <v>0.12615775677541907</v>
      </c>
      <c r="AE26" s="31">
        <f t="shared" si="13"/>
        <v>0.28812602741230964</v>
      </c>
      <c r="AF26" s="31">
        <f t="shared" si="14"/>
        <v>-3.5824104631602127E-3</v>
      </c>
      <c r="AG26" s="31">
        <f t="shared" si="15"/>
        <v>-0.15732248666729365</v>
      </c>
      <c r="AH26" s="31">
        <f t="shared" si="16"/>
        <v>-1.2179559569093112E-2</v>
      </c>
      <c r="AI26" s="31">
        <f t="shared" si="17"/>
        <v>-6.4206831445961954E-2</v>
      </c>
      <c r="AJ26" s="31">
        <f t="shared" si="20"/>
        <v>-0.44194195258821789</v>
      </c>
      <c r="AK26" s="31">
        <f t="shared" si="21"/>
        <v>0.87017335449091693</v>
      </c>
      <c r="AL26" s="31">
        <f t="shared" si="22"/>
        <v>0.56531256249778594</v>
      </c>
      <c r="AM26" s="31">
        <f t="shared" si="23"/>
        <v>-3.0233624945213533E-2</v>
      </c>
      <c r="AN26" s="31">
        <f t="shared" si="23"/>
        <v>0.10224807504078814</v>
      </c>
      <c r="AO26" s="31">
        <f t="shared" si="23"/>
        <v>-7.0358786191934808E-2</v>
      </c>
    </row>
    <row r="27" spans="2:41" x14ac:dyDescent="0.2">
      <c r="B27" s="23" t="s">
        <v>32</v>
      </c>
      <c r="C27" s="6">
        <v>22459.534620339982</v>
      </c>
      <c r="D27" s="6">
        <v>32826.258017640008</v>
      </c>
      <c r="E27" s="6">
        <v>22484.56998203</v>
      </c>
      <c r="F27" s="6">
        <v>44113</v>
      </c>
      <c r="G27" s="6">
        <v>33095.256037369996</v>
      </c>
      <c r="H27" s="6">
        <v>52089.675987000002</v>
      </c>
      <c r="I27" s="6">
        <v>41969.682240019996</v>
      </c>
      <c r="J27" s="49">
        <v>57125.63140939</v>
      </c>
      <c r="K27" s="49">
        <v>48524.825382640003</v>
      </c>
      <c r="L27" s="49">
        <v>51231.810493289995</v>
      </c>
      <c r="M27" s="49">
        <v>51883.679375980013</v>
      </c>
      <c r="N27" s="6">
        <v>55151.872604250006</v>
      </c>
      <c r="O27" s="6">
        <v>76151.771509020022</v>
      </c>
      <c r="P27" s="6">
        <v>49898.401020329999</v>
      </c>
      <c r="Q27" s="6">
        <v>41194.496889679991</v>
      </c>
      <c r="R27" s="6">
        <v>63481.919363509995</v>
      </c>
      <c r="S27" s="6">
        <v>95528.488354179994</v>
      </c>
      <c r="T27" s="6">
        <v>80769.185838370002</v>
      </c>
      <c r="U27" s="6">
        <v>78135.620917529988</v>
      </c>
      <c r="V27" s="6">
        <v>82034.727832479984</v>
      </c>
      <c r="W27" s="31">
        <f t="shared" si="5"/>
        <v>0.46157338397883052</v>
      </c>
      <c r="X27" s="31">
        <f t="shared" si="6"/>
        <v>-0.31504315935287674</v>
      </c>
      <c r="Y27" s="31">
        <f t="shared" si="7"/>
        <v>0.96192322269252917</v>
      </c>
      <c r="Z27" s="31">
        <f t="shared" si="8"/>
        <v>-0.24976183806655639</v>
      </c>
      <c r="AA27" s="31">
        <f t="shared" si="9"/>
        <v>0.57393180243664466</v>
      </c>
      <c r="AB27" s="31">
        <f t="shared" si="10"/>
        <v>-0.19428022070065565</v>
      </c>
      <c r="AC27" s="31">
        <f t="shared" si="11"/>
        <v>0.36111660514117783</v>
      </c>
      <c r="AD27" s="31">
        <f t="shared" si="12"/>
        <v>-0.15055949167743021</v>
      </c>
      <c r="AE27" s="31">
        <f t="shared" si="13"/>
        <v>5.578557139163709E-2</v>
      </c>
      <c r="AF27" s="31">
        <f t="shared" si="14"/>
        <v>1.2723908767100722E-2</v>
      </c>
      <c r="AG27" s="31">
        <f t="shared" si="15"/>
        <v>6.2990776050918074E-2</v>
      </c>
      <c r="AH27" s="31">
        <f t="shared" si="16"/>
        <v>0.3807649298774991</v>
      </c>
      <c r="AI27" s="31">
        <f t="shared" si="17"/>
        <v>-0.34475062061531114</v>
      </c>
      <c r="AJ27" s="31">
        <f t="shared" si="20"/>
        <v>-0.174432525946148</v>
      </c>
      <c r="AK27" s="31">
        <f t="shared" si="21"/>
        <v>0.54102912176634521</v>
      </c>
      <c r="AL27" s="31">
        <f t="shared" si="22"/>
        <v>0.50481411576680624</v>
      </c>
      <c r="AM27" s="31">
        <f t="shared" si="23"/>
        <v>-0.1545015813616627</v>
      </c>
      <c r="AN27" s="31">
        <f t="shared" si="23"/>
        <v>-3.2606060015389127E-2</v>
      </c>
      <c r="AO27" s="31">
        <f t="shared" si="23"/>
        <v>4.9901784476319655E-2</v>
      </c>
    </row>
    <row r="28" spans="2:41" x14ac:dyDescent="0.2">
      <c r="B28" s="23" t="s">
        <v>85</v>
      </c>
      <c r="C28" s="6"/>
      <c r="D28" s="6"/>
      <c r="E28" s="6"/>
      <c r="F28" s="6"/>
      <c r="G28" s="6"/>
      <c r="H28" s="6"/>
      <c r="I28" s="6"/>
      <c r="J28" s="49"/>
      <c r="K28" s="49"/>
      <c r="L28" s="49"/>
      <c r="M28" s="49"/>
      <c r="N28" s="6"/>
      <c r="O28" s="6"/>
      <c r="P28" s="6"/>
      <c r="Q28" s="6"/>
      <c r="R28" s="6"/>
      <c r="S28" s="6">
        <v>2.9582019700000002</v>
      </c>
      <c r="T28" s="6">
        <v>0</v>
      </c>
      <c r="U28" s="6">
        <v>0</v>
      </c>
      <c r="V28" s="6">
        <v>0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>
        <f t="shared" si="23"/>
        <v>-1</v>
      </c>
      <c r="AN28" s="59"/>
      <c r="AO28" s="59"/>
    </row>
    <row r="29" spans="2:41" x14ac:dyDescent="0.2">
      <c r="B29" s="23" t="s">
        <v>86</v>
      </c>
      <c r="C29" s="6"/>
      <c r="D29" s="6"/>
      <c r="E29" s="6"/>
      <c r="F29" s="6"/>
      <c r="G29" s="6"/>
      <c r="H29" s="6"/>
      <c r="I29" s="6"/>
      <c r="J29" s="49"/>
      <c r="K29" s="49"/>
      <c r="L29" s="49"/>
      <c r="M29" s="49"/>
      <c r="N29" s="6"/>
      <c r="O29" s="6"/>
      <c r="P29" s="6"/>
      <c r="Q29" s="6"/>
      <c r="R29" s="6"/>
      <c r="S29" s="6">
        <v>384.02026014</v>
      </c>
      <c r="T29" s="6">
        <v>354.57668852999996</v>
      </c>
      <c r="U29" s="6">
        <v>0</v>
      </c>
      <c r="V29" s="6">
        <v>0</v>
      </c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>
        <f t="shared" si="23"/>
        <v>-7.6671922463846021E-2</v>
      </c>
      <c r="AN29" s="31">
        <f t="shared" si="23"/>
        <v>-1</v>
      </c>
      <c r="AO29" s="59" t="e">
        <f t="shared" si="23"/>
        <v>#DIV/0!</v>
      </c>
    </row>
    <row r="30" spans="2:41" x14ac:dyDescent="0.2">
      <c r="B30" s="22" t="s">
        <v>33</v>
      </c>
      <c r="C30" s="6">
        <v>2696.7580508600004</v>
      </c>
      <c r="D30" s="6">
        <v>3467.0222619000015</v>
      </c>
      <c r="E30" s="6">
        <v>3700.2736315600014</v>
      </c>
      <c r="F30" s="6">
        <v>4379.0905115400001</v>
      </c>
      <c r="G30" s="6">
        <v>4929.3092514099999</v>
      </c>
      <c r="H30" s="6">
        <v>5542.4985267799993</v>
      </c>
      <c r="I30" s="6">
        <v>6013.9239941400001</v>
      </c>
      <c r="J30" s="49">
        <v>4436.2551684399996</v>
      </c>
      <c r="K30" s="6">
        <v>4793.8880441400006</v>
      </c>
      <c r="L30" s="6">
        <v>5417.7578704699999</v>
      </c>
      <c r="M30" s="6">
        <v>5197.1450803900007</v>
      </c>
      <c r="N30" s="6">
        <v>5983.8253026800003</v>
      </c>
      <c r="O30" s="6">
        <v>6862.3266023699998</v>
      </c>
      <c r="P30" s="6">
        <v>6593.3807024600001</v>
      </c>
      <c r="Q30" s="6">
        <v>6746.9920818500004</v>
      </c>
      <c r="R30" s="6">
        <v>38648.956880089994</v>
      </c>
      <c r="S30" s="6">
        <v>43464.741301490001</v>
      </c>
      <c r="T30" s="6">
        <v>47031.636510540004</v>
      </c>
      <c r="U30" s="6">
        <v>49095.405736330002</v>
      </c>
      <c r="V30" s="6">
        <v>51894.806111040001</v>
      </c>
      <c r="W30" s="31">
        <f t="shared" si="5"/>
        <v>0.28562599851861492</v>
      </c>
      <c r="X30" s="31">
        <f t="shared" si="6"/>
        <v>6.7277147950060456E-2</v>
      </c>
      <c r="Y30" s="31">
        <f t="shared" si="7"/>
        <v>0.18345045463403098</v>
      </c>
      <c r="Z30" s="31">
        <f t="shared" si="8"/>
        <v>0.12564680689290064</v>
      </c>
      <c r="AA30" s="31">
        <f t="shared" si="9"/>
        <v>0.12439659272637438</v>
      </c>
      <c r="AB30" s="31">
        <f t="shared" si="10"/>
        <v>8.505648943020705E-2</v>
      </c>
      <c r="AC30" s="31">
        <f t="shared" si="11"/>
        <v>-0.26233601010543028</v>
      </c>
      <c r="AD30" s="31">
        <f t="shared" si="12"/>
        <v>8.0615938921692276E-2</v>
      </c>
      <c r="AE30" s="31">
        <f t="shared" si="13"/>
        <v>0.13013858909212761</v>
      </c>
      <c r="AF30" s="31">
        <f t="shared" si="14"/>
        <v>-4.0720311862305625E-2</v>
      </c>
      <c r="AG30" s="31">
        <f t="shared" si="15"/>
        <v>0.15136776251606321</v>
      </c>
      <c r="AH30" s="31">
        <f t="shared" si="16"/>
        <v>0.14681265833354828</v>
      </c>
      <c r="AI30" s="31">
        <f t="shared" si="17"/>
        <v>-3.9191649639222281E-2</v>
      </c>
      <c r="AJ30" s="31">
        <f t="shared" ref="AJ30:AL32" si="33">+Q30/P30-1</f>
        <v>2.3297817359869466E-2</v>
      </c>
      <c r="AK30" s="31">
        <f t="shared" si="33"/>
        <v>4.7283240310981052</v>
      </c>
      <c r="AL30" s="31">
        <f t="shared" si="33"/>
        <v>0.12460321856398804</v>
      </c>
      <c r="AM30" s="31">
        <f t="shared" si="23"/>
        <v>8.2064107647817242E-2</v>
      </c>
      <c r="AN30" s="31">
        <f t="shared" si="23"/>
        <v>4.3880446841935816E-2</v>
      </c>
      <c r="AO30" s="31">
        <f t="shared" si="23"/>
        <v>5.7019599547549538E-2</v>
      </c>
    </row>
    <row r="31" spans="2:41" x14ac:dyDescent="0.2">
      <c r="B31" s="22" t="s">
        <v>12</v>
      </c>
      <c r="C31" s="6">
        <v>676.83292622999943</v>
      </c>
      <c r="D31" s="6">
        <v>970.38943066999855</v>
      </c>
      <c r="E31" s="6">
        <v>998.94494016999943</v>
      </c>
      <c r="F31" s="6">
        <v>1135.7113585100001</v>
      </c>
      <c r="G31" s="6">
        <v>3247.4324661700002</v>
      </c>
      <c r="H31" s="6">
        <v>3580.3254662300001</v>
      </c>
      <c r="I31" s="6">
        <v>2201.2611196399998</v>
      </c>
      <c r="J31" s="6">
        <v>897.09249709000005</v>
      </c>
      <c r="K31" s="6">
        <v>1741.23907048</v>
      </c>
      <c r="L31" s="6">
        <v>1593.6478442499999</v>
      </c>
      <c r="M31" s="6">
        <v>2576.6417049499996</v>
      </c>
      <c r="N31" s="6">
        <v>4245.9995426300002</v>
      </c>
      <c r="O31" s="6">
        <v>3373.86544198</v>
      </c>
      <c r="P31" s="6">
        <v>2911.1725076100001</v>
      </c>
      <c r="Q31" s="6">
        <v>2817.5395134200003</v>
      </c>
      <c r="R31" s="6">
        <v>8396.2216669999998</v>
      </c>
      <c r="S31" s="6">
        <v>12974.913420729999</v>
      </c>
      <c r="T31" s="6">
        <v>9495.193841190001</v>
      </c>
      <c r="U31" s="6">
        <v>10865.771487389999</v>
      </c>
      <c r="V31" s="6">
        <v>12851.2498815</v>
      </c>
      <c r="W31" s="31">
        <f t="shared" si="5"/>
        <v>0.43372077962448818</v>
      </c>
      <c r="X31" s="31">
        <f t="shared" si="6"/>
        <v>2.942685544326773E-2</v>
      </c>
      <c r="Y31" s="31">
        <f t="shared" si="7"/>
        <v>0.13691086749658687</v>
      </c>
      <c r="Z31" s="31">
        <f t="shared" si="8"/>
        <v>1.8593818683212597</v>
      </c>
      <c r="AA31" s="31">
        <f t="shared" si="9"/>
        <v>0.10250959905337509</v>
      </c>
      <c r="AB31" s="31">
        <f t="shared" si="10"/>
        <v>-0.38517848715081293</v>
      </c>
      <c r="AC31" s="31">
        <f t="shared" si="11"/>
        <v>-0.59246429735845563</v>
      </c>
      <c r="AD31" s="31">
        <f t="shared" si="12"/>
        <v>0.940980530021434</v>
      </c>
      <c r="AE31" s="31">
        <f t="shared" si="13"/>
        <v>-8.4762183856415652E-2</v>
      </c>
      <c r="AF31" s="31">
        <f t="shared" si="14"/>
        <v>0.61681999837461876</v>
      </c>
      <c r="AG31" s="31">
        <f t="shared" si="15"/>
        <v>0.64788124575993189</v>
      </c>
      <c r="AH31" s="31">
        <f t="shared" si="16"/>
        <v>-0.20540136471842263</v>
      </c>
      <c r="AI31" s="31">
        <f t="shared" si="17"/>
        <v>-0.13714030459331594</v>
      </c>
      <c r="AJ31" s="31">
        <f t="shared" si="33"/>
        <v>-3.2163327300335887E-2</v>
      </c>
      <c r="AK31" s="31">
        <f t="shared" si="33"/>
        <v>1.9799836442430063</v>
      </c>
      <c r="AL31" s="31">
        <f t="shared" si="33"/>
        <v>0.54532764085133811</v>
      </c>
      <c r="AM31" s="31">
        <f>+T31/S31-1</f>
        <v>-0.26818826967896803</v>
      </c>
      <c r="AN31" s="31">
        <f>+U31/T31-1</f>
        <v>0.1443443566422471</v>
      </c>
      <c r="AO31" s="31">
        <f>+V31/U31-1</f>
        <v>0.18272778848830007</v>
      </c>
    </row>
    <row r="32" spans="2:41" x14ac:dyDescent="0.2">
      <c r="B32" s="22" t="s">
        <v>34</v>
      </c>
      <c r="C32" s="6">
        <v>751.61651794999943</v>
      </c>
      <c r="D32" s="6">
        <v>1479.4796964899979</v>
      </c>
      <c r="E32" s="6">
        <v>1486.5377012499994</v>
      </c>
      <c r="F32" s="6">
        <v>290.47021268000003</v>
      </c>
      <c r="G32" s="6">
        <v>14721.99476168</v>
      </c>
      <c r="H32" s="6">
        <v>10003.231852469999</v>
      </c>
      <c r="I32" s="6">
        <v>15219.753508260001</v>
      </c>
      <c r="J32" s="6">
        <v>12547.107619889999</v>
      </c>
      <c r="K32" s="6">
        <v>11229.33497548</v>
      </c>
      <c r="L32" s="6">
        <v>18702.694767509998</v>
      </c>
      <c r="M32" s="6">
        <v>35832.87322388</v>
      </c>
      <c r="N32" s="6">
        <v>19681.719469200001</v>
      </c>
      <c r="O32" s="6">
        <v>17779.43617302</v>
      </c>
      <c r="P32" s="6">
        <v>9893.785066729999</v>
      </c>
      <c r="Q32" s="6">
        <v>20217.44038964</v>
      </c>
      <c r="R32" s="6">
        <v>1752.3364921</v>
      </c>
      <c r="S32" s="6">
        <v>1762.8273945599999</v>
      </c>
      <c r="T32" s="6">
        <v>4494.6996535899998</v>
      </c>
      <c r="U32" s="6">
        <v>1124.98795305</v>
      </c>
      <c r="V32" s="6">
        <v>4209.2331581300004</v>
      </c>
      <c r="W32" s="31">
        <f t="shared" si="5"/>
        <v>0.96839699654980027</v>
      </c>
      <c r="X32" s="31">
        <f t="shared" si="6"/>
        <v>4.7705992699638156E-3</v>
      </c>
      <c r="Y32" s="31">
        <f t="shared" si="7"/>
        <v>-0.80459949825978205</v>
      </c>
      <c r="Z32" s="31">
        <f t="shared" si="8"/>
        <v>49.683320075572297</v>
      </c>
      <c r="AA32" s="31">
        <f t="shared" si="9"/>
        <v>-0.32052469693118679</v>
      </c>
      <c r="AB32" s="31">
        <f t="shared" si="10"/>
        <v>0.52148362976330875</v>
      </c>
      <c r="AC32" s="31">
        <f t="shared" si="11"/>
        <v>-0.17560375645502502</v>
      </c>
      <c r="AD32" s="31">
        <f t="shared" si="12"/>
        <v>-0.10502600952597485</v>
      </c>
      <c r="AE32" s="31">
        <f t="shared" si="13"/>
        <v>0.66552113801472457</v>
      </c>
      <c r="AF32" s="31">
        <f t="shared" si="14"/>
        <v>0.91592033497377368</v>
      </c>
      <c r="AG32" s="31">
        <f t="shared" si="15"/>
        <v>-0.4507356597884099</v>
      </c>
      <c r="AH32" s="31">
        <f t="shared" si="16"/>
        <v>-9.6652291948215785E-2</v>
      </c>
      <c r="AI32" s="31">
        <f t="shared" si="17"/>
        <v>-0.4435265004779142</v>
      </c>
      <c r="AJ32" s="31">
        <f t="shared" si="33"/>
        <v>1.0434485137165082</v>
      </c>
      <c r="AK32" s="31">
        <f t="shared" si="33"/>
        <v>-0.91332550222341957</v>
      </c>
      <c r="AL32" s="31">
        <f t="shared" si="33"/>
        <v>5.9868081885503521E-3</v>
      </c>
      <c r="AM32" s="31">
        <f t="shared" si="23"/>
        <v>1.5497105771446629</v>
      </c>
      <c r="AN32" s="31">
        <f t="shared" si="23"/>
        <v>-0.74970786932304778</v>
      </c>
      <c r="AO32" s="31">
        <f t="shared" si="23"/>
        <v>2.7415806513466916</v>
      </c>
    </row>
    <row r="33" spans="1:41" x14ac:dyDescent="0.2">
      <c r="C33" s="6"/>
      <c r="D33" s="6"/>
      <c r="E33" s="6"/>
      <c r="F33" s="45" t="s">
        <v>47</v>
      </c>
      <c r="G33" s="44" t="s">
        <v>47</v>
      </c>
      <c r="H33" s="44"/>
      <c r="I33" s="44"/>
      <c r="J33" s="44"/>
      <c r="K33" s="44"/>
      <c r="L33" s="44"/>
      <c r="M33" s="44"/>
      <c r="N33" s="50"/>
      <c r="O33" s="50"/>
      <c r="P33" s="50"/>
      <c r="Q33" s="50"/>
      <c r="R33" s="50"/>
      <c r="S33" s="50"/>
      <c r="T33" s="50"/>
      <c r="U33" s="50"/>
      <c r="V33" s="50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15" x14ac:dyDescent="0.25">
      <c r="B34" s="15" t="s">
        <v>63</v>
      </c>
      <c r="C34" s="5">
        <v>0</v>
      </c>
      <c r="D34" s="5">
        <v>59.232037999999989</v>
      </c>
      <c r="E34" s="5">
        <v>126.8</v>
      </c>
      <c r="F34" s="50">
        <v>0</v>
      </c>
      <c r="G34" s="50">
        <v>45.95</v>
      </c>
      <c r="H34" s="50">
        <v>25</v>
      </c>
      <c r="I34" s="50">
        <v>53</v>
      </c>
      <c r="J34" s="50">
        <v>0</v>
      </c>
      <c r="K34" s="50">
        <v>780.5</v>
      </c>
      <c r="L34" s="50">
        <v>0</v>
      </c>
      <c r="M34" s="50">
        <v>0</v>
      </c>
      <c r="N34" s="50">
        <v>450</v>
      </c>
      <c r="O34" s="50">
        <v>0</v>
      </c>
      <c r="P34" s="50">
        <v>24000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8819.4031481399998</v>
      </c>
      <c r="W34" s="59" t="e">
        <f t="shared" si="5"/>
        <v>#DIV/0!</v>
      </c>
      <c r="X34" s="31">
        <f t="shared" ref="X34:AO34" si="34">+E34/D34-1</f>
        <v>1.1407333646024473</v>
      </c>
      <c r="Y34" s="59">
        <f t="shared" si="34"/>
        <v>-1</v>
      </c>
      <c r="Z34" s="59" t="e">
        <f t="shared" si="34"/>
        <v>#DIV/0!</v>
      </c>
      <c r="AA34" s="31">
        <f t="shared" si="34"/>
        <v>-0.45593035908596302</v>
      </c>
      <c r="AB34" s="31">
        <f t="shared" si="34"/>
        <v>1.1200000000000001</v>
      </c>
      <c r="AC34" s="31">
        <f t="shared" si="34"/>
        <v>-1</v>
      </c>
      <c r="AD34" s="59" t="e">
        <f t="shared" si="34"/>
        <v>#DIV/0!</v>
      </c>
      <c r="AE34" s="31">
        <f t="shared" si="34"/>
        <v>-1</v>
      </c>
      <c r="AF34" s="59" t="e">
        <f t="shared" si="34"/>
        <v>#DIV/0!</v>
      </c>
      <c r="AG34" s="59" t="e">
        <f t="shared" si="34"/>
        <v>#DIV/0!</v>
      </c>
      <c r="AH34" s="59">
        <f t="shared" si="34"/>
        <v>-1</v>
      </c>
      <c r="AI34" s="59" t="e">
        <f t="shared" si="34"/>
        <v>#DIV/0!</v>
      </c>
      <c r="AJ34" s="31">
        <f t="shared" si="34"/>
        <v>-1</v>
      </c>
      <c r="AK34" s="59" t="e">
        <f t="shared" si="34"/>
        <v>#DIV/0!</v>
      </c>
      <c r="AL34" s="59" t="e">
        <f t="shared" si="34"/>
        <v>#DIV/0!</v>
      </c>
      <c r="AM34" s="59" t="e">
        <f t="shared" si="34"/>
        <v>#DIV/0!</v>
      </c>
      <c r="AN34" s="59" t="e">
        <f t="shared" si="34"/>
        <v>#DIV/0!</v>
      </c>
      <c r="AO34" s="59" t="e">
        <f t="shared" si="34"/>
        <v>#DIV/0!</v>
      </c>
    </row>
    <row r="35" spans="1:4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1"/>
      <c r="O35" s="21"/>
      <c r="P35" s="21"/>
      <c r="Q35" s="21"/>
      <c r="R35" s="21"/>
      <c r="S35" s="21"/>
      <c r="T35" s="21"/>
      <c r="U35" s="21"/>
      <c r="V35" s="21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x14ac:dyDescent="0.2">
      <c r="A36" s="7">
        <v>2</v>
      </c>
      <c r="B36" s="3" t="s">
        <v>62</v>
      </c>
      <c r="C36" s="21">
        <f>+C40+C56</f>
        <v>150797.19999999995</v>
      </c>
      <c r="D36" s="21">
        <f t="shared" ref="D36:K36" si="35">+D40+D56</f>
        <v>166454.6</v>
      </c>
      <c r="E36" s="37">
        <f t="shared" si="35"/>
        <v>201562.25399299996</v>
      </c>
      <c r="F36" s="21">
        <f t="shared" si="35"/>
        <v>250939.16721084004</v>
      </c>
      <c r="G36" s="21">
        <f t="shared" si="35"/>
        <v>274067.8000000001</v>
      </c>
      <c r="H36" s="21">
        <f t="shared" si="35"/>
        <v>307365.86095392</v>
      </c>
      <c r="I36" s="21">
        <f t="shared" si="35"/>
        <v>322535.89940554008</v>
      </c>
      <c r="J36" s="21">
        <f t="shared" si="35"/>
        <v>433956.67396403011</v>
      </c>
      <c r="K36" s="21">
        <f t="shared" si="35"/>
        <v>434209.28502201993</v>
      </c>
      <c r="L36" s="21">
        <f t="shared" ref="L36:V36" si="36">+L40+L56+L65</f>
        <v>433941.48202265013</v>
      </c>
      <c r="M36" s="21">
        <f t="shared" si="36"/>
        <v>455858.46726569947</v>
      </c>
      <c r="N36" s="21">
        <f t="shared" si="36"/>
        <v>472616.26597766002</v>
      </c>
      <c r="O36" s="21">
        <f t="shared" si="36"/>
        <v>515055.75830351067</v>
      </c>
      <c r="P36" s="21">
        <f t="shared" si="36"/>
        <v>629248.25121976994</v>
      </c>
      <c r="Q36" s="21">
        <f t="shared" si="36"/>
        <v>587600.04688245011</v>
      </c>
      <c r="R36" s="21">
        <f t="shared" si="36"/>
        <v>670144.04976222955</v>
      </c>
      <c r="S36" s="21">
        <f t="shared" si="36"/>
        <v>643461.39998830017</v>
      </c>
      <c r="T36" s="21">
        <f t="shared" si="36"/>
        <v>726727.74636251014</v>
      </c>
      <c r="U36" s="21">
        <f t="shared" si="36"/>
        <v>743942.06789385993</v>
      </c>
      <c r="V36" s="21">
        <f t="shared" si="36"/>
        <v>652273.45545937086</v>
      </c>
      <c r="W36" s="42">
        <f t="shared" si="5"/>
        <v>0.10383084036043155</v>
      </c>
      <c r="X36" s="42">
        <f t="shared" ref="X36:AO36" si="37">+E36/D36-1</f>
        <v>0.21091429130225281</v>
      </c>
      <c r="Y36" s="42">
        <f t="shared" si="37"/>
        <v>0.24497103123065345</v>
      </c>
      <c r="Z36" s="42">
        <f t="shared" si="37"/>
        <v>9.2168285430417995E-2</v>
      </c>
      <c r="AA36" s="42">
        <f t="shared" si="37"/>
        <v>0.12149570636871565</v>
      </c>
      <c r="AB36" s="42">
        <f t="shared" si="37"/>
        <v>4.9354988236297137E-2</v>
      </c>
      <c r="AC36" s="42">
        <f t="shared" si="37"/>
        <v>0.34545231945915966</v>
      </c>
      <c r="AD36" s="42">
        <f t="shared" si="37"/>
        <v>5.8211124092721889E-4</v>
      </c>
      <c r="AE36" s="42">
        <f t="shared" si="37"/>
        <v>-6.1676018594636339E-4</v>
      </c>
      <c r="AF36" s="42">
        <f t="shared" si="37"/>
        <v>5.0506776030933453E-2</v>
      </c>
      <c r="AG36" s="42">
        <f t="shared" si="37"/>
        <v>3.6760968404242034E-2</v>
      </c>
      <c r="AH36" s="42">
        <f t="shared" si="37"/>
        <v>8.9796935444149018E-2</v>
      </c>
      <c r="AI36" s="42">
        <f t="shared" si="37"/>
        <v>0.22170899184272042</v>
      </c>
      <c r="AJ36" s="42">
        <f t="shared" si="37"/>
        <v>-6.6187238910218049E-2</v>
      </c>
      <c r="AK36" s="42">
        <f t="shared" si="37"/>
        <v>0.14047650832861902</v>
      </c>
      <c r="AL36" s="42">
        <f t="shared" si="37"/>
        <v>-3.9816289920646897E-2</v>
      </c>
      <c r="AM36" s="42">
        <f t="shared" si="37"/>
        <v>0.12940379388060252</v>
      </c>
      <c r="AN36" s="42">
        <f t="shared" si="37"/>
        <v>2.3687442260891478E-2</v>
      </c>
      <c r="AO36" s="42">
        <f t="shared" si="37"/>
        <v>-0.12322009520715482</v>
      </c>
    </row>
    <row r="37" spans="1:41" x14ac:dyDescent="0.2">
      <c r="A37" s="7"/>
      <c r="B37" s="16"/>
      <c r="C37" s="20"/>
      <c r="D37" s="20"/>
      <c r="E37" s="38"/>
      <c r="F37" s="43"/>
      <c r="G37" s="43"/>
      <c r="H37" s="43"/>
      <c r="I37" s="43"/>
      <c r="J37" s="43"/>
      <c r="K37" s="4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x14ac:dyDescent="0.2">
      <c r="A38" s="7">
        <v>3</v>
      </c>
      <c r="B38" s="3" t="s">
        <v>16</v>
      </c>
      <c r="C38" s="5">
        <f>+C36-C46</f>
        <v>92159.699999999953</v>
      </c>
      <c r="D38" s="5">
        <f t="shared" ref="D38:O38" si="38">+D36-D46</f>
        <v>122936.1</v>
      </c>
      <c r="E38" s="39">
        <f t="shared" si="38"/>
        <v>166097.15399299996</v>
      </c>
      <c r="F38" s="5">
        <f t="shared" si="38"/>
        <v>211559.56721084003</v>
      </c>
      <c r="G38" s="5">
        <f t="shared" si="38"/>
        <v>236846.2000000001</v>
      </c>
      <c r="H38" s="5">
        <f t="shared" si="38"/>
        <v>262854.76743698999</v>
      </c>
      <c r="I38" s="5">
        <f t="shared" si="38"/>
        <v>275432.73728413007</v>
      </c>
      <c r="J38" s="5">
        <f t="shared" si="38"/>
        <v>355400.60118187009</v>
      </c>
      <c r="K38" s="5">
        <f t="shared" si="38"/>
        <v>373276.96437933005</v>
      </c>
      <c r="L38" s="5">
        <f t="shared" si="38"/>
        <v>383978.8014092301</v>
      </c>
      <c r="M38" s="5">
        <f t="shared" si="38"/>
        <v>407990.54332689941</v>
      </c>
      <c r="N38" s="5">
        <f t="shared" si="38"/>
        <v>411765.02545230003</v>
      </c>
      <c r="O38" s="5">
        <f t="shared" si="38"/>
        <v>456695.70754559059</v>
      </c>
      <c r="P38" s="5">
        <f t="shared" ref="P38:V38" si="39">+P36-P46</f>
        <v>515173.24783285003</v>
      </c>
      <c r="Q38" s="5">
        <f t="shared" si="39"/>
        <v>486581.79303646006</v>
      </c>
      <c r="R38" s="5">
        <f t="shared" si="39"/>
        <v>515724.18159971951</v>
      </c>
      <c r="S38" s="5">
        <f t="shared" si="39"/>
        <v>450624.65382790007</v>
      </c>
      <c r="T38" s="5">
        <f t="shared" si="39"/>
        <v>524389.72871919011</v>
      </c>
      <c r="U38" s="5">
        <f t="shared" si="39"/>
        <v>534905.23758601013</v>
      </c>
      <c r="V38" s="5">
        <f t="shared" si="39"/>
        <v>499632.16742738069</v>
      </c>
      <c r="W38" s="32">
        <f t="shared" si="5"/>
        <v>0.33394639956510352</v>
      </c>
      <c r="X38" s="32">
        <f t="shared" ref="X38:AO38" si="40">+E38/D38-1</f>
        <v>0.35108527107171894</v>
      </c>
      <c r="Y38" s="32">
        <f t="shared" si="40"/>
        <v>0.27370976639224076</v>
      </c>
      <c r="Z38" s="32">
        <f t="shared" si="40"/>
        <v>0.11952488427979935</v>
      </c>
      <c r="AA38" s="32">
        <f t="shared" si="40"/>
        <v>0.10981205287224327</v>
      </c>
      <c r="AB38" s="32">
        <f t="shared" si="40"/>
        <v>4.7851404674085662E-2</v>
      </c>
      <c r="AC38" s="32">
        <f t="shared" si="40"/>
        <v>0.2903353634947432</v>
      </c>
      <c r="AD38" s="32">
        <f t="shared" si="40"/>
        <v>5.029919234242386E-2</v>
      </c>
      <c r="AE38" s="32">
        <f t="shared" si="40"/>
        <v>2.8669963729732517E-2</v>
      </c>
      <c r="AF38" s="32">
        <f t="shared" si="40"/>
        <v>6.2534030080682701E-2</v>
      </c>
      <c r="AG38" s="32">
        <f t="shared" si="40"/>
        <v>9.251396109875909E-3</v>
      </c>
      <c r="AH38" s="32">
        <f t="shared" si="40"/>
        <v>0.10911728611223559</v>
      </c>
      <c r="AI38" s="32">
        <f t="shared" si="40"/>
        <v>0.12804486515000102</v>
      </c>
      <c r="AJ38" s="32">
        <f t="shared" si="40"/>
        <v>-5.5498717987907953E-2</v>
      </c>
      <c r="AK38" s="32">
        <f t="shared" si="40"/>
        <v>5.9892065384114623E-2</v>
      </c>
      <c r="AL38" s="32">
        <f t="shared" si="40"/>
        <v>-0.12622934912589878</v>
      </c>
      <c r="AM38" s="32">
        <f t="shared" si="40"/>
        <v>0.16369516018416075</v>
      </c>
      <c r="AN38" s="32">
        <f t="shared" si="40"/>
        <v>2.0052850563080149E-2</v>
      </c>
      <c r="AO38" s="32">
        <f t="shared" si="40"/>
        <v>-6.5942652417864456E-2</v>
      </c>
    </row>
    <row r="39" spans="1:41" x14ac:dyDescent="0.2">
      <c r="C39" s="6"/>
      <c r="D39" s="6"/>
      <c r="E39" s="3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x14ac:dyDescent="0.2">
      <c r="B40" s="16" t="s">
        <v>1</v>
      </c>
      <c r="C40" s="20">
        <f>+C43+C44+C45+C46+C50</f>
        <v>146066.89999999997</v>
      </c>
      <c r="D40" s="20">
        <f t="shared" ref="D40:O40" si="41">+D43+D44+D45+D46+D50</f>
        <v>146738.4</v>
      </c>
      <c r="E40" s="40">
        <f t="shared" si="41"/>
        <v>165179.45399299997</v>
      </c>
      <c r="F40" s="20">
        <f t="shared" si="41"/>
        <v>214131.76721084004</v>
      </c>
      <c r="G40" s="20">
        <f t="shared" si="41"/>
        <v>252381.2000000001</v>
      </c>
      <c r="H40" s="20">
        <f t="shared" si="41"/>
        <v>286544.98579551</v>
      </c>
      <c r="I40" s="20">
        <f t="shared" si="41"/>
        <v>303556.3475872901</v>
      </c>
      <c r="J40" s="20">
        <f t="shared" si="41"/>
        <v>401671.66751720011</v>
      </c>
      <c r="K40" s="20">
        <f t="shared" si="41"/>
        <v>382012.92718291993</v>
      </c>
      <c r="L40" s="20">
        <f t="shared" si="41"/>
        <v>407793.69194047013</v>
      </c>
      <c r="M40" s="20">
        <f t="shared" si="41"/>
        <v>429835.04104008945</v>
      </c>
      <c r="N40" s="20">
        <f t="shared" si="41"/>
        <v>432734.71329774999</v>
      </c>
      <c r="O40" s="20">
        <f t="shared" si="41"/>
        <v>468737.52261318068</v>
      </c>
      <c r="P40" s="20">
        <f t="shared" ref="P40:V40" si="42">+P43+P44+P45+P46+P50</f>
        <v>590797.80562728993</v>
      </c>
      <c r="Q40" s="20">
        <f t="shared" si="42"/>
        <v>557751.84186834004</v>
      </c>
      <c r="R40" s="20">
        <f t="shared" si="42"/>
        <v>616333.0849655096</v>
      </c>
      <c r="S40" s="20">
        <f t="shared" si="42"/>
        <v>591500.96817644022</v>
      </c>
      <c r="T40" s="20">
        <f t="shared" si="42"/>
        <v>683094.71857038012</v>
      </c>
      <c r="U40" s="20">
        <f t="shared" si="42"/>
        <v>696446.8836658299</v>
      </c>
      <c r="V40" s="20">
        <f t="shared" si="42"/>
        <v>602425.50119016087</v>
      </c>
      <c r="W40" s="29">
        <f t="shared" si="5"/>
        <v>4.5972085393750639E-3</v>
      </c>
      <c r="X40" s="29">
        <f t="shared" ref="X40:AO40" si="43">+E40/D40-1</f>
        <v>0.12567299352453065</v>
      </c>
      <c r="Y40" s="29">
        <f t="shared" si="43"/>
        <v>0.29635836682154548</v>
      </c>
      <c r="Z40" s="29">
        <f t="shared" si="43"/>
        <v>0.17862568122131361</v>
      </c>
      <c r="AA40" s="29">
        <f t="shared" si="43"/>
        <v>0.13536581090631894</v>
      </c>
      <c r="AB40" s="29">
        <f t="shared" si="43"/>
        <v>5.9367159207315945E-2</v>
      </c>
      <c r="AC40" s="29">
        <f t="shared" si="43"/>
        <v>0.32321946389770728</v>
      </c>
      <c r="AD40" s="29">
        <f t="shared" si="43"/>
        <v>-4.8942312650016251E-2</v>
      </c>
      <c r="AE40" s="29">
        <f t="shared" si="43"/>
        <v>6.7486629176833013E-2</v>
      </c>
      <c r="AF40" s="29">
        <f t="shared" si="43"/>
        <v>5.4050245345229397E-2</v>
      </c>
      <c r="AG40" s="29">
        <f t="shared" si="43"/>
        <v>6.746011797093221E-3</v>
      </c>
      <c r="AH40" s="29">
        <f t="shared" si="43"/>
        <v>8.3198338864620691E-2</v>
      </c>
      <c r="AI40" s="29">
        <f t="shared" si="43"/>
        <v>0.26040220192663743</v>
      </c>
      <c r="AJ40" s="29">
        <f t="shared" si="43"/>
        <v>-5.5934472748866648E-2</v>
      </c>
      <c r="AK40" s="29">
        <f t="shared" si="43"/>
        <v>0.10503101684242933</v>
      </c>
      <c r="AL40" s="29">
        <f t="shared" si="43"/>
        <v>-4.0290092151160417E-2</v>
      </c>
      <c r="AM40" s="29">
        <f t="shared" si="43"/>
        <v>0.15484970494015848</v>
      </c>
      <c r="AN40" s="29">
        <f t="shared" si="43"/>
        <v>1.9546579313911128E-2</v>
      </c>
      <c r="AO40" s="29">
        <f t="shared" si="43"/>
        <v>-0.13500151221982137</v>
      </c>
    </row>
    <row r="41" spans="1:41" x14ac:dyDescent="0.2">
      <c r="C41" s="19"/>
      <c r="D41" s="6"/>
      <c r="E41" s="3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x14ac:dyDescent="0.2">
      <c r="B42" s="25" t="s">
        <v>41</v>
      </c>
      <c r="C42" s="5">
        <f>SUM(C43:C44)</f>
        <v>44559.199999999997</v>
      </c>
      <c r="D42" s="5">
        <f t="shared" ref="D42:O42" si="44">SUM(D43:D44)</f>
        <v>48495.299999999996</v>
      </c>
      <c r="E42" s="39">
        <f t="shared" si="44"/>
        <v>62321.299999999959</v>
      </c>
      <c r="F42" s="5">
        <f t="shared" si="44"/>
        <v>81091.5</v>
      </c>
      <c r="G42" s="5">
        <f t="shared" si="44"/>
        <v>97461.70000000007</v>
      </c>
      <c r="H42" s="5">
        <f t="shared" si="44"/>
        <v>109753.56695941006</v>
      </c>
      <c r="I42" s="5">
        <f t="shared" si="44"/>
        <v>114442.12230999998</v>
      </c>
      <c r="J42" s="5">
        <f t="shared" si="44"/>
        <v>132109.24931496018</v>
      </c>
      <c r="K42" s="5">
        <f t="shared" si="44"/>
        <v>142025.96775139001</v>
      </c>
      <c r="L42" s="5">
        <f t="shared" si="44"/>
        <v>156708.85428464005</v>
      </c>
      <c r="M42" s="5">
        <f t="shared" si="44"/>
        <v>174774.51150443943</v>
      </c>
      <c r="N42" s="5">
        <f t="shared" si="44"/>
        <v>156807.24294655022</v>
      </c>
      <c r="O42" s="5">
        <f t="shared" si="44"/>
        <v>172450.95509093048</v>
      </c>
      <c r="P42" s="5">
        <f t="shared" ref="P42:V42" si="45">SUM(P43:P44)</f>
        <v>178592.78267666016</v>
      </c>
      <c r="Q42" s="5">
        <f t="shared" si="45"/>
        <v>182785.09536471003</v>
      </c>
      <c r="R42" s="5">
        <f t="shared" si="45"/>
        <v>188104.64138598982</v>
      </c>
      <c r="S42" s="5">
        <f t="shared" si="45"/>
        <v>194647.28006042988</v>
      </c>
      <c r="T42" s="5">
        <f t="shared" si="45"/>
        <v>191859.50410066036</v>
      </c>
      <c r="U42" s="5">
        <f t="shared" si="45"/>
        <v>208920.85521578029</v>
      </c>
      <c r="V42" s="5">
        <f t="shared" si="45"/>
        <v>203841.02037514036</v>
      </c>
      <c r="W42" s="32">
        <f t="shared" si="5"/>
        <v>8.8334171170038944E-2</v>
      </c>
      <c r="X42" s="32">
        <f t="shared" ref="X42:AO48" si="46">+E42/D42-1</f>
        <v>0.28509979317583278</v>
      </c>
      <c r="Y42" s="32">
        <f t="shared" si="46"/>
        <v>0.30118434628289292</v>
      </c>
      <c r="Z42" s="32">
        <f t="shared" si="46"/>
        <v>0.20187319262808145</v>
      </c>
      <c r="AA42" s="32">
        <f t="shared" si="46"/>
        <v>0.12611997286534082</v>
      </c>
      <c r="AB42" s="32">
        <f t="shared" si="46"/>
        <v>4.2718933702845963E-2</v>
      </c>
      <c r="AC42" s="32">
        <f t="shared" si="46"/>
        <v>0.15437608677951298</v>
      </c>
      <c r="AD42" s="32">
        <f t="shared" si="46"/>
        <v>7.5064527940715831E-2</v>
      </c>
      <c r="AE42" s="32">
        <f t="shared" si="46"/>
        <v>0.10338170382300627</v>
      </c>
      <c r="AF42" s="32">
        <f t="shared" si="46"/>
        <v>0.11528166230470682</v>
      </c>
      <c r="AG42" s="32">
        <f t="shared" si="46"/>
        <v>-0.10280256773844754</v>
      </c>
      <c r="AH42" s="32">
        <f t="shared" si="46"/>
        <v>9.976396402628307E-2</v>
      </c>
      <c r="AI42" s="32">
        <f t="shared" si="46"/>
        <v>3.5614923573436874E-2</v>
      </c>
      <c r="AJ42" s="32">
        <f t="shared" si="46"/>
        <v>2.3474143944775205E-2</v>
      </c>
      <c r="AK42" s="32">
        <f t="shared" si="46"/>
        <v>2.9102734064097247E-2</v>
      </c>
      <c r="AL42" s="32">
        <f t="shared" si="46"/>
        <v>3.4781909825471136E-2</v>
      </c>
      <c r="AM42" s="32">
        <f t="shared" si="46"/>
        <v>-1.4322193245669967E-2</v>
      </c>
      <c r="AN42" s="32">
        <f t="shared" si="46"/>
        <v>8.8926275480043948E-2</v>
      </c>
      <c r="AO42" s="32">
        <f t="shared" si="46"/>
        <v>-2.4314637403687223E-2</v>
      </c>
    </row>
    <row r="43" spans="1:41" x14ac:dyDescent="0.2">
      <c r="B43" s="25" t="s">
        <v>2</v>
      </c>
      <c r="C43" s="6">
        <v>36121.800000000003</v>
      </c>
      <c r="D43" s="6">
        <v>40313.199999999997</v>
      </c>
      <c r="E43" s="41">
        <v>51776.199999999953</v>
      </c>
      <c r="F43" s="27">
        <v>67192.3</v>
      </c>
      <c r="G43" s="27">
        <v>80673.500000000058</v>
      </c>
      <c r="H43" s="27">
        <v>90688.064699180046</v>
      </c>
      <c r="I43" s="27">
        <v>96614.371074029972</v>
      </c>
      <c r="J43" s="27">
        <v>108093.4600858402</v>
      </c>
      <c r="K43" s="27">
        <v>116797.78222893004</v>
      </c>
      <c r="L43" s="27">
        <v>125395.21816966005</v>
      </c>
      <c r="M43" s="27">
        <v>145833.47469871945</v>
      </c>
      <c r="N43" s="27">
        <v>134408.39670470019</v>
      </c>
      <c r="O43" s="27">
        <v>141498.55501886044</v>
      </c>
      <c r="P43" s="27">
        <v>147331.3084398901</v>
      </c>
      <c r="Q43" s="27">
        <v>150684.75368925999</v>
      </c>
      <c r="R43" s="27">
        <v>153876.78710815986</v>
      </c>
      <c r="S43" s="27">
        <v>153948.48004406982</v>
      </c>
      <c r="T43" s="27">
        <v>157287.47184314043</v>
      </c>
      <c r="U43" s="27">
        <v>171966.49774022028</v>
      </c>
      <c r="V43" s="27">
        <v>169066.74190731038</v>
      </c>
      <c r="W43" s="31">
        <f t="shared" si="5"/>
        <v>0.11603519204469315</v>
      </c>
      <c r="X43" s="31">
        <f t="shared" si="46"/>
        <v>0.28434855084686794</v>
      </c>
      <c r="Y43" s="31">
        <f t="shared" si="46"/>
        <v>0.29774490982343371</v>
      </c>
      <c r="Z43" s="31">
        <f t="shared" si="46"/>
        <v>0.20063608478947814</v>
      </c>
      <c r="AA43" s="31">
        <f t="shared" si="46"/>
        <v>0.12413698053487177</v>
      </c>
      <c r="AB43" s="31">
        <f t="shared" si="46"/>
        <v>6.5348250560952836E-2</v>
      </c>
      <c r="AC43" s="31">
        <f t="shared" si="46"/>
        <v>0.11881347344293602</v>
      </c>
      <c r="AD43" s="31">
        <f t="shared" si="46"/>
        <v>8.0525890615190665E-2</v>
      </c>
      <c r="AE43" s="31">
        <f t="shared" si="46"/>
        <v>7.360958210557933E-2</v>
      </c>
      <c r="AF43" s="31">
        <f t="shared" si="46"/>
        <v>0.16299071708943802</v>
      </c>
      <c r="AG43" s="31">
        <f t="shared" si="46"/>
        <v>-7.834331601590494E-2</v>
      </c>
      <c r="AH43" s="31">
        <f t="shared" si="46"/>
        <v>5.2750858487937702E-2</v>
      </c>
      <c r="AI43" s="31">
        <f t="shared" si="46"/>
        <v>4.1221293180359275E-2</v>
      </c>
      <c r="AJ43" s="31">
        <f t="shared" si="46"/>
        <v>2.276125342861568E-2</v>
      </c>
      <c r="AK43" s="31">
        <f t="shared" si="46"/>
        <v>2.1183519505114878E-2</v>
      </c>
      <c r="AL43" s="31">
        <f t="shared" si="46"/>
        <v>4.6591131292306187E-4</v>
      </c>
      <c r="AM43" s="31">
        <f t="shared" si="46"/>
        <v>2.1689020886174193E-2</v>
      </c>
      <c r="AN43" s="31">
        <f t="shared" si="46"/>
        <v>9.3326097273144226E-2</v>
      </c>
      <c r="AO43" s="31">
        <f t="shared" si="46"/>
        <v>-1.6862329994592251E-2</v>
      </c>
    </row>
    <row r="44" spans="1:41" ht="14.25" x14ac:dyDescent="0.2">
      <c r="B44" s="25" t="s">
        <v>100</v>
      </c>
      <c r="C44" s="6">
        <v>8437.3999999999942</v>
      </c>
      <c r="D44" s="6">
        <v>8182.1</v>
      </c>
      <c r="E44" s="38">
        <v>10545.100000000002</v>
      </c>
      <c r="F44" s="27">
        <v>13899.2</v>
      </c>
      <c r="G44" s="27">
        <v>16788.200000000004</v>
      </c>
      <c r="H44" s="27">
        <v>19065.502260230016</v>
      </c>
      <c r="I44" s="27">
        <v>17827.751235969998</v>
      </c>
      <c r="J44" s="27">
        <v>24015.78922911999</v>
      </c>
      <c r="K44" s="27">
        <v>25228.185522459975</v>
      </c>
      <c r="L44" s="27">
        <v>31313.63611498</v>
      </c>
      <c r="M44" s="27">
        <v>28941.036805719985</v>
      </c>
      <c r="N44" s="27">
        <v>22398.846241850035</v>
      </c>
      <c r="O44" s="27">
        <v>30952.400072070042</v>
      </c>
      <c r="P44" s="27">
        <v>31261.47423677006</v>
      </c>
      <c r="Q44" s="27">
        <v>32100.341675450039</v>
      </c>
      <c r="R44" s="27">
        <v>34227.85427782996</v>
      </c>
      <c r="S44" s="27">
        <v>40698.800016360052</v>
      </c>
      <c r="T44" s="27">
        <v>34572.032257519932</v>
      </c>
      <c r="U44" s="27">
        <v>36954.357475560006</v>
      </c>
      <c r="V44" s="27">
        <v>34774.278467829979</v>
      </c>
      <c r="W44" s="31">
        <f t="shared" si="5"/>
        <v>-3.0258136392726898E-2</v>
      </c>
      <c r="X44" s="31">
        <f t="shared" si="46"/>
        <v>0.28880116351547902</v>
      </c>
      <c r="Y44" s="31">
        <f t="shared" si="46"/>
        <v>0.31807190069321267</v>
      </c>
      <c r="Z44" s="31">
        <f t="shared" si="46"/>
        <v>0.20785368942097415</v>
      </c>
      <c r="AA44" s="31">
        <f t="shared" si="46"/>
        <v>0.13564898322810137</v>
      </c>
      <c r="AB44" s="31">
        <f t="shared" si="46"/>
        <v>-6.4920976503300643E-2</v>
      </c>
      <c r="AC44" s="31">
        <f t="shared" si="46"/>
        <v>0.34710143254998727</v>
      </c>
      <c r="AD44" s="31">
        <f t="shared" si="46"/>
        <v>5.0483300039538603E-2</v>
      </c>
      <c r="AE44" s="31">
        <f t="shared" si="46"/>
        <v>0.2412163406322787</v>
      </c>
      <c r="AF44" s="31">
        <f t="shared" si="46"/>
        <v>-7.5768885496021898E-2</v>
      </c>
      <c r="AG44" s="31">
        <f t="shared" si="46"/>
        <v>-0.22605239085895268</v>
      </c>
      <c r="AH44" s="31">
        <f t="shared" si="46"/>
        <v>0.38187475095206169</v>
      </c>
      <c r="AI44" s="31">
        <f t="shared" si="46"/>
        <v>9.9854668452321604E-3</v>
      </c>
      <c r="AJ44" s="31">
        <f t="shared" si="46"/>
        <v>2.6833905283113468E-2</v>
      </c>
      <c r="AK44" s="31">
        <f t="shared" si="46"/>
        <v>6.6276945706375878E-2</v>
      </c>
      <c r="AL44" s="31">
        <f t="shared" si="46"/>
        <v>0.18905496342262529</v>
      </c>
      <c r="AM44" s="31">
        <f t="shared" si="46"/>
        <v>-0.15053927281338242</v>
      </c>
      <c r="AN44" s="31">
        <f t="shared" si="46"/>
        <v>6.8909030290571938E-2</v>
      </c>
      <c r="AO44" s="31">
        <f t="shared" si="46"/>
        <v>-5.8993827972028345E-2</v>
      </c>
    </row>
    <row r="45" spans="1:41" ht="14.25" x14ac:dyDescent="0.2">
      <c r="B45" s="1" t="s">
        <v>101</v>
      </c>
      <c r="C45" s="6">
        <v>4771.1000000000004</v>
      </c>
      <c r="D45" s="6">
        <v>5287.200000000008</v>
      </c>
      <c r="E45" s="38">
        <v>6481.3999999999969</v>
      </c>
      <c r="F45" s="27">
        <v>8660.1</v>
      </c>
      <c r="G45" s="27">
        <v>8952.400000000016</v>
      </c>
      <c r="H45" s="27">
        <v>8402.8374640499969</v>
      </c>
      <c r="I45" s="27">
        <v>10892.202562160006</v>
      </c>
      <c r="J45" s="27">
        <v>13307.20270172999</v>
      </c>
      <c r="K45" s="27">
        <v>13455.501136589995</v>
      </c>
      <c r="L45" s="27">
        <v>14029.120336980021</v>
      </c>
      <c r="M45" s="27">
        <v>16856.801982210025</v>
      </c>
      <c r="N45" s="27">
        <v>18395.854571179883</v>
      </c>
      <c r="O45" s="27">
        <v>17076.681299619988</v>
      </c>
      <c r="P45" s="27">
        <v>22538.223415699962</v>
      </c>
      <c r="Q45" s="27">
        <v>17467.133467730007</v>
      </c>
      <c r="R45" s="27">
        <v>25123.499397669941</v>
      </c>
      <c r="S45" s="27">
        <v>21177.84412886994</v>
      </c>
      <c r="T45" s="27">
        <v>26291.147488529965</v>
      </c>
      <c r="U45" s="27">
        <v>26155.563632210054</v>
      </c>
      <c r="V45" s="27">
        <v>25091.974083390065</v>
      </c>
      <c r="W45" s="31">
        <f t="shared" si="5"/>
        <v>0.10817211963698248</v>
      </c>
      <c r="X45" s="31">
        <f t="shared" si="46"/>
        <v>0.22586624300196467</v>
      </c>
      <c r="Y45" s="31">
        <f t="shared" si="46"/>
        <v>0.33614651155614594</v>
      </c>
      <c r="Z45" s="31">
        <f t="shared" si="46"/>
        <v>3.3752497084331035E-2</v>
      </c>
      <c r="AA45" s="31">
        <f t="shared" si="46"/>
        <v>-6.1387173936599981E-2</v>
      </c>
      <c r="AB45" s="31">
        <f t="shared" si="46"/>
        <v>0.29625291560860267</v>
      </c>
      <c r="AC45" s="31">
        <f t="shared" si="46"/>
        <v>0.22171825448415738</v>
      </c>
      <c r="AD45" s="31">
        <f t="shared" si="46"/>
        <v>1.1144223033495049E-2</v>
      </c>
      <c r="AE45" s="31">
        <f t="shared" si="46"/>
        <v>4.2630831402493241E-2</v>
      </c>
      <c r="AF45" s="31">
        <f t="shared" si="46"/>
        <v>0.20155801485117952</v>
      </c>
      <c r="AG45" s="31">
        <f t="shared" si="46"/>
        <v>9.130157609931655E-2</v>
      </c>
      <c r="AH45" s="31">
        <f t="shared" si="46"/>
        <v>-7.1710355529043812E-2</v>
      </c>
      <c r="AI45" s="31">
        <f t="shared" si="46"/>
        <v>0.31982456194234365</v>
      </c>
      <c r="AJ45" s="31">
        <f t="shared" si="46"/>
        <v>-0.22499954208624406</v>
      </c>
      <c r="AK45" s="31">
        <f t="shared" si="46"/>
        <v>0.43832984639894312</v>
      </c>
      <c r="AL45" s="31">
        <f t="shared" si="46"/>
        <v>-0.15705038563083051</v>
      </c>
      <c r="AM45" s="31">
        <f t="shared" si="46"/>
        <v>0.2414458869630407</v>
      </c>
      <c r="AN45" s="31">
        <f t="shared" si="46"/>
        <v>-5.1570155459764733E-3</v>
      </c>
      <c r="AO45" s="31">
        <f t="shared" si="46"/>
        <v>-4.0663988884957591E-2</v>
      </c>
    </row>
    <row r="46" spans="1:41" x14ac:dyDescent="0.2">
      <c r="B46" s="1" t="s">
        <v>17</v>
      </c>
      <c r="C46" s="5">
        <f>+C47+C48</f>
        <v>58637.5</v>
      </c>
      <c r="D46" s="5">
        <f t="shared" ref="D46:O46" si="47">+D47+D48</f>
        <v>43518.5</v>
      </c>
      <c r="E46" s="39">
        <f t="shared" si="47"/>
        <v>35465.1</v>
      </c>
      <c r="F46" s="5">
        <f t="shared" si="47"/>
        <v>39379.600000000006</v>
      </c>
      <c r="G46" s="5">
        <f t="shared" si="47"/>
        <v>37221.600000000006</v>
      </c>
      <c r="H46" s="5">
        <f t="shared" si="47"/>
        <v>44511.093516929992</v>
      </c>
      <c r="I46" s="5">
        <f t="shared" si="47"/>
        <v>47103.162121410009</v>
      </c>
      <c r="J46" s="5">
        <f t="shared" si="47"/>
        <v>78556.072782160016</v>
      </c>
      <c r="K46" s="5">
        <f t="shared" si="47"/>
        <v>60932.320642689891</v>
      </c>
      <c r="L46" s="5">
        <f t="shared" si="47"/>
        <v>49962.680613420016</v>
      </c>
      <c r="M46" s="5">
        <f t="shared" si="47"/>
        <v>47867.923938800042</v>
      </c>
      <c r="N46" s="5">
        <f t="shared" si="47"/>
        <v>60851.240525359986</v>
      </c>
      <c r="O46" s="5">
        <f t="shared" si="47"/>
        <v>58360.050757920093</v>
      </c>
      <c r="P46" s="5">
        <f t="shared" ref="P46:V46" si="48">+P47+P48</f>
        <v>114075.00338691993</v>
      </c>
      <c r="Q46" s="5">
        <f t="shared" si="48"/>
        <v>101018.25384599004</v>
      </c>
      <c r="R46" s="5">
        <f t="shared" si="48"/>
        <v>154419.86816251004</v>
      </c>
      <c r="S46" s="5">
        <f t="shared" si="48"/>
        <v>192836.74616040013</v>
      </c>
      <c r="T46" s="5">
        <f t="shared" si="48"/>
        <v>202338.01764332002</v>
      </c>
      <c r="U46" s="5">
        <f t="shared" si="48"/>
        <v>209036.83030784977</v>
      </c>
      <c r="V46" s="5">
        <f t="shared" si="48"/>
        <v>152641.2880319902</v>
      </c>
      <c r="W46" s="32">
        <f t="shared" si="5"/>
        <v>-0.25783841398422513</v>
      </c>
      <c r="X46" s="32">
        <f t="shared" si="46"/>
        <v>-0.18505692981145949</v>
      </c>
      <c r="Y46" s="32">
        <f t="shared" si="46"/>
        <v>0.11037611623821753</v>
      </c>
      <c r="Z46" s="32">
        <f t="shared" si="46"/>
        <v>-5.4799947180773745E-2</v>
      </c>
      <c r="AA46" s="32">
        <f t="shared" si="46"/>
        <v>0.1958404130109932</v>
      </c>
      <c r="AB46" s="32">
        <f t="shared" si="46"/>
        <v>5.8234215330928984E-2</v>
      </c>
      <c r="AC46" s="32">
        <f t="shared" si="46"/>
        <v>0.66774520529384107</v>
      </c>
      <c r="AD46" s="32">
        <f t="shared" si="46"/>
        <v>-0.22434614556587729</v>
      </c>
      <c r="AE46" s="32">
        <f t="shared" si="46"/>
        <v>-0.180029907175149</v>
      </c>
      <c r="AF46" s="32">
        <f t="shared" si="46"/>
        <v>-4.1926426863039823E-2</v>
      </c>
      <c r="AG46" s="32">
        <f t="shared" si="46"/>
        <v>0.27123208023726564</v>
      </c>
      <c r="AH46" s="32">
        <f t="shared" si="46"/>
        <v>-4.0939013665656998E-2</v>
      </c>
      <c r="AI46" s="32">
        <f t="shared" si="46"/>
        <v>0.95467621952742565</v>
      </c>
      <c r="AJ46" s="32">
        <f t="shared" si="46"/>
        <v>-0.1144575862658006</v>
      </c>
      <c r="AK46" s="32">
        <f t="shared" si="46"/>
        <v>0.52863331411305925</v>
      </c>
      <c r="AL46" s="32">
        <f t="shared" si="46"/>
        <v>0.24878196345473191</v>
      </c>
      <c r="AM46" s="32">
        <f t="shared" si="46"/>
        <v>4.9271063073304644E-2</v>
      </c>
      <c r="AN46" s="32">
        <f t="shared" si="46"/>
        <v>3.310703911480628E-2</v>
      </c>
      <c r="AO46" s="32">
        <f t="shared" si="46"/>
        <v>-0.26978758811452275</v>
      </c>
    </row>
    <row r="47" spans="1:41" x14ac:dyDescent="0.2">
      <c r="B47" s="1" t="s">
        <v>3</v>
      </c>
      <c r="C47" s="6">
        <v>36650.800000000003</v>
      </c>
      <c r="D47" s="28">
        <v>21501.8</v>
      </c>
      <c r="E47" s="38">
        <v>15405.4</v>
      </c>
      <c r="F47" s="27">
        <v>18268.7</v>
      </c>
      <c r="G47" s="27">
        <v>18721.200000000015</v>
      </c>
      <c r="H47" s="27">
        <v>27012.497706439994</v>
      </c>
      <c r="I47" s="27">
        <v>35068.304901110016</v>
      </c>
      <c r="J47" s="27">
        <v>57114.827738840009</v>
      </c>
      <c r="K47" s="27">
        <v>42124.230017129885</v>
      </c>
      <c r="L47" s="27">
        <v>31404.86392304</v>
      </c>
      <c r="M47" s="27">
        <v>25701.854920250054</v>
      </c>
      <c r="N47" s="27">
        <v>37781.637031779988</v>
      </c>
      <c r="O47" s="27">
        <v>35526.994810050106</v>
      </c>
      <c r="P47" s="27">
        <v>90763.593993349947</v>
      </c>
      <c r="Q47" s="27">
        <v>80977.10806723003</v>
      </c>
      <c r="R47" s="27">
        <v>139790.31009611004</v>
      </c>
      <c r="S47" s="27">
        <v>174664.88079717013</v>
      </c>
      <c r="T47" s="27">
        <v>191076.99414853001</v>
      </c>
      <c r="U47" s="27">
        <v>188932.33894482971</v>
      </c>
      <c r="V47" s="27">
        <v>139637.6677936202</v>
      </c>
      <c r="W47" s="31">
        <f t="shared" si="5"/>
        <v>-0.41333340609209079</v>
      </c>
      <c r="X47" s="31">
        <f t="shared" si="46"/>
        <v>-0.28352975099759092</v>
      </c>
      <c r="Y47" s="31">
        <f t="shared" si="46"/>
        <v>0.18586339854856093</v>
      </c>
      <c r="Z47" s="31">
        <f t="shared" si="46"/>
        <v>2.4769140661350608E-2</v>
      </c>
      <c r="AA47" s="31">
        <f t="shared" si="46"/>
        <v>0.44288281234322424</v>
      </c>
      <c r="AB47" s="31">
        <f t="shared" si="46"/>
        <v>0.29822518754900074</v>
      </c>
      <c r="AC47" s="31">
        <f t="shared" si="46"/>
        <v>0.62867375254947544</v>
      </c>
      <c r="AD47" s="31">
        <f t="shared" si="46"/>
        <v>-0.26246420264550696</v>
      </c>
      <c r="AE47" s="31">
        <f t="shared" si="46"/>
        <v>-0.25447031529670305</v>
      </c>
      <c r="AF47" s="31">
        <f t="shared" si="46"/>
        <v>-0.18159636089382847</v>
      </c>
      <c r="AG47" s="31">
        <f t="shared" si="46"/>
        <v>0.46999650994109676</v>
      </c>
      <c r="AH47" s="31">
        <f t="shared" si="46"/>
        <v>-5.9675609604565083E-2</v>
      </c>
      <c r="AI47" s="31">
        <f t="shared" si="46"/>
        <v>1.5547782602674336</v>
      </c>
      <c r="AJ47" s="31">
        <f t="shared" si="46"/>
        <v>-0.1078239137030752</v>
      </c>
      <c r="AK47" s="31">
        <f t="shared" si="46"/>
        <v>0.72629417662151186</v>
      </c>
      <c r="AL47" s="31">
        <f t="shared" si="46"/>
        <v>0.24947774046057103</v>
      </c>
      <c r="AM47" s="31">
        <f t="shared" si="46"/>
        <v>9.3963441743154297E-2</v>
      </c>
      <c r="AN47" s="31">
        <f t="shared" si="46"/>
        <v>-1.1224036746324328E-2</v>
      </c>
      <c r="AO47" s="31">
        <f t="shared" si="46"/>
        <v>-0.26091177098910567</v>
      </c>
    </row>
    <row r="48" spans="1:41" x14ac:dyDescent="0.2">
      <c r="B48" s="1" t="s">
        <v>4</v>
      </c>
      <c r="C48" s="6">
        <v>21986.7</v>
      </c>
      <c r="D48" s="28">
        <v>22016.7</v>
      </c>
      <c r="E48" s="38">
        <v>20059.7</v>
      </c>
      <c r="F48" s="27">
        <v>21110.9</v>
      </c>
      <c r="G48" s="27">
        <v>18500.399999999994</v>
      </c>
      <c r="H48" s="27">
        <v>17498.595810489995</v>
      </c>
      <c r="I48" s="27">
        <v>12034.857220299993</v>
      </c>
      <c r="J48" s="27">
        <v>21441.245043319999</v>
      </c>
      <c r="K48" s="27">
        <v>18808.090625560006</v>
      </c>
      <c r="L48" s="27">
        <v>18557.816690380012</v>
      </c>
      <c r="M48" s="27">
        <v>22166.069018549992</v>
      </c>
      <c r="N48" s="27">
        <v>23069.603493580002</v>
      </c>
      <c r="O48" s="27">
        <v>22833.055947869991</v>
      </c>
      <c r="P48" s="27">
        <v>23311.409393569978</v>
      </c>
      <c r="Q48" s="27">
        <v>20041.145778760008</v>
      </c>
      <c r="R48" s="27">
        <v>14629.558066400008</v>
      </c>
      <c r="S48" s="27">
        <v>18171.865363230005</v>
      </c>
      <c r="T48" s="27">
        <v>11261.023494790017</v>
      </c>
      <c r="U48" s="27">
        <v>20104.491363020057</v>
      </c>
      <c r="V48" s="27">
        <v>13003.620238369995</v>
      </c>
      <c r="W48" s="31">
        <f t="shared" si="5"/>
        <v>1.3644612424783542E-3</v>
      </c>
      <c r="X48" s="31">
        <f t="shared" si="46"/>
        <v>-8.8887072086189067E-2</v>
      </c>
      <c r="Y48" s="31">
        <f t="shared" si="46"/>
        <v>5.2403575327647056E-2</v>
      </c>
      <c r="Z48" s="31">
        <f t="shared" si="46"/>
        <v>-0.12365649972289228</v>
      </c>
      <c r="AA48" s="31">
        <f t="shared" si="46"/>
        <v>-5.4150406991740674E-2</v>
      </c>
      <c r="AB48" s="31">
        <f t="shared" si="46"/>
        <v>-0.31223868757026885</v>
      </c>
      <c r="AC48" s="31">
        <f t="shared" si="46"/>
        <v>0.78159529862586385</v>
      </c>
      <c r="AD48" s="31">
        <f t="shared" si="46"/>
        <v>-0.12280790655766283</v>
      </c>
      <c r="AE48" s="31">
        <f t="shared" si="46"/>
        <v>-1.3306716782822914E-2</v>
      </c>
      <c r="AF48" s="31">
        <f t="shared" si="46"/>
        <v>0.19443301916223921</v>
      </c>
      <c r="AG48" s="31">
        <f t="shared" si="46"/>
        <v>4.076205276965772E-2</v>
      </c>
      <c r="AH48" s="31">
        <f t="shared" si="46"/>
        <v>-1.0253645918788301E-2</v>
      </c>
      <c r="AI48" s="31">
        <f t="shared" si="46"/>
        <v>2.0950040449780882E-2</v>
      </c>
      <c r="AJ48" s="31">
        <f t="shared" si="46"/>
        <v>-0.14028596725310016</v>
      </c>
      <c r="AK48" s="31">
        <f t="shared" si="46"/>
        <v>-0.27002386850033822</v>
      </c>
      <c r="AL48" s="31">
        <f t="shared" si="46"/>
        <v>0.24213358194091206</v>
      </c>
      <c r="AM48" s="31">
        <f t="shared" si="46"/>
        <v>-0.38030448334840639</v>
      </c>
      <c r="AN48" s="31">
        <f t="shared" si="46"/>
        <v>0.78531652760706216</v>
      </c>
      <c r="AO48" s="31">
        <f t="shared" si="46"/>
        <v>-0.35319824791545407</v>
      </c>
    </row>
    <row r="49" spans="1:41" x14ac:dyDescent="0.2">
      <c r="C49" s="6"/>
      <c r="D49" s="6"/>
      <c r="E49" s="3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4.25" x14ac:dyDescent="0.2">
      <c r="B50" s="1" t="s">
        <v>99</v>
      </c>
      <c r="C50" s="5">
        <f>+C51+C52+C53+C54</f>
        <v>38099.099999999984</v>
      </c>
      <c r="D50" s="5">
        <f t="shared" ref="D50:O50" si="49">+D51+D52+D53+D54</f>
        <v>49437.399999999987</v>
      </c>
      <c r="E50" s="39">
        <f t="shared" si="49"/>
        <v>60911.653993</v>
      </c>
      <c r="F50" s="5">
        <f t="shared" si="49"/>
        <v>85000.567210840032</v>
      </c>
      <c r="G50" s="5">
        <f t="shared" si="49"/>
        <v>108745.5</v>
      </c>
      <c r="H50" s="5">
        <f t="shared" si="49"/>
        <v>123877.48785511997</v>
      </c>
      <c r="I50" s="5">
        <f t="shared" si="49"/>
        <v>131118.86059372008</v>
      </c>
      <c r="J50" s="5">
        <f t="shared" si="49"/>
        <v>177699.14271834996</v>
      </c>
      <c r="K50" s="5">
        <f t="shared" si="49"/>
        <v>165599.13765225004</v>
      </c>
      <c r="L50" s="5">
        <f t="shared" si="49"/>
        <v>187093.03670542999</v>
      </c>
      <c r="M50" s="5">
        <f t="shared" si="49"/>
        <v>190335.80361464</v>
      </c>
      <c r="N50" s="5">
        <f t="shared" si="49"/>
        <v>196680.37525465991</v>
      </c>
      <c r="O50" s="5">
        <f t="shared" si="49"/>
        <v>220849.83546471017</v>
      </c>
      <c r="P50" s="5">
        <f t="shared" ref="P50:V50" si="50">+P51+P52+P53+P54</f>
        <v>275591.79614800983</v>
      </c>
      <c r="Q50" s="5">
        <f t="shared" si="50"/>
        <v>256481.35918990994</v>
      </c>
      <c r="R50" s="5">
        <f t="shared" si="50"/>
        <v>248685.07601933976</v>
      </c>
      <c r="S50" s="5">
        <f t="shared" si="50"/>
        <v>182839.09782674021</v>
      </c>
      <c r="T50" s="5">
        <f t="shared" si="50"/>
        <v>262606.04933786974</v>
      </c>
      <c r="U50" s="5">
        <f t="shared" si="50"/>
        <v>252333.63450998973</v>
      </c>
      <c r="V50" s="5">
        <f t="shared" si="50"/>
        <v>220851.21869964022</v>
      </c>
      <c r="W50" s="32">
        <f t="shared" si="5"/>
        <v>0.29760020577913937</v>
      </c>
      <c r="X50" s="32">
        <f t="shared" ref="X50:AO54" si="51">+E50/D50-1</f>
        <v>0.23209663115374224</v>
      </c>
      <c r="Y50" s="32">
        <f t="shared" si="51"/>
        <v>0.39547297830080841</v>
      </c>
      <c r="Z50" s="32">
        <f t="shared" si="51"/>
        <v>0.27935028633705161</v>
      </c>
      <c r="AA50" s="32">
        <f t="shared" si="51"/>
        <v>0.13915047385979151</v>
      </c>
      <c r="AB50" s="32">
        <f t="shared" si="51"/>
        <v>5.845592176577874E-2</v>
      </c>
      <c r="AC50" s="32">
        <f t="shared" si="51"/>
        <v>0.35525234061453426</v>
      </c>
      <c r="AD50" s="32">
        <f t="shared" si="51"/>
        <v>-6.8092647387040128E-2</v>
      </c>
      <c r="AE50" s="32">
        <f t="shared" si="51"/>
        <v>0.12979475230309512</v>
      </c>
      <c r="AF50" s="32">
        <f t="shared" si="51"/>
        <v>1.7332376267512384E-2</v>
      </c>
      <c r="AG50" s="32">
        <f t="shared" si="51"/>
        <v>3.3333568984558193E-2</v>
      </c>
      <c r="AH50" s="32">
        <f t="shared" si="51"/>
        <v>0.12288699459087304</v>
      </c>
      <c r="AI50" s="32">
        <f t="shared" si="51"/>
        <v>0.2478696013882562</v>
      </c>
      <c r="AJ50" s="32">
        <f t="shared" si="51"/>
        <v>-6.9343272278817758E-2</v>
      </c>
      <c r="AK50" s="32">
        <f t="shared" si="51"/>
        <v>-3.0397075230709003E-2</v>
      </c>
      <c r="AL50" s="32">
        <f t="shared" si="51"/>
        <v>-0.26477655694738522</v>
      </c>
      <c r="AM50" s="32">
        <f t="shared" si="51"/>
        <v>0.43626856869922492</v>
      </c>
      <c r="AN50" s="32">
        <f t="shared" si="51"/>
        <v>-3.9117205615714856E-2</v>
      </c>
      <c r="AO50" s="32">
        <f t="shared" si="51"/>
        <v>-0.12476503923658722</v>
      </c>
    </row>
    <row r="51" spans="1:41" x14ac:dyDescent="0.2">
      <c r="B51" s="1" t="s">
        <v>6</v>
      </c>
      <c r="C51" s="6">
        <v>20551.599999999988</v>
      </c>
      <c r="D51" s="6">
        <v>24048.7</v>
      </c>
      <c r="E51" s="38">
        <v>26825.599999999999</v>
      </c>
      <c r="F51" s="27">
        <v>33196.748317940001</v>
      </c>
      <c r="G51" s="27">
        <v>37159.500000000015</v>
      </c>
      <c r="H51" s="27">
        <v>39745.004556179985</v>
      </c>
      <c r="I51" s="27">
        <v>43996.66284105002</v>
      </c>
      <c r="J51" s="27">
        <v>49048.371776709988</v>
      </c>
      <c r="K51" s="27">
        <v>50729.266674529994</v>
      </c>
      <c r="L51" s="27">
        <v>57731.951736869996</v>
      </c>
      <c r="M51" s="27">
        <v>60953.459720040046</v>
      </c>
      <c r="N51" s="27">
        <v>61663.803977859963</v>
      </c>
      <c r="O51" s="27">
        <v>73415.246131350112</v>
      </c>
      <c r="P51" s="27">
        <v>70233.292477509953</v>
      </c>
      <c r="Q51" s="27">
        <v>110596.79455620007</v>
      </c>
      <c r="R51" s="27">
        <v>76385.616865640128</v>
      </c>
      <c r="S51" s="27">
        <v>76421.913577200059</v>
      </c>
      <c r="T51" s="27">
        <v>82635.748730539912</v>
      </c>
      <c r="U51" s="27">
        <v>78982.811149190064</v>
      </c>
      <c r="V51" s="27">
        <v>77721.374428409996</v>
      </c>
      <c r="W51" s="31">
        <f t="shared" si="5"/>
        <v>0.17016193386403078</v>
      </c>
      <c r="X51" s="31">
        <f t="shared" si="51"/>
        <v>0.11546985907762153</v>
      </c>
      <c r="Y51" s="31">
        <f t="shared" si="51"/>
        <v>0.23750254674415494</v>
      </c>
      <c r="Z51" s="31">
        <f t="shared" si="51"/>
        <v>0.11937168195230985</v>
      </c>
      <c r="AA51" s="31">
        <f t="shared" si="51"/>
        <v>6.9578561503248704E-2</v>
      </c>
      <c r="AB51" s="31">
        <f t="shared" si="51"/>
        <v>0.10697340036432168</v>
      </c>
      <c r="AC51" s="31">
        <f t="shared" si="51"/>
        <v>0.11482027520838689</v>
      </c>
      <c r="AD51" s="31">
        <f t="shared" si="51"/>
        <v>3.4270146733355045E-2</v>
      </c>
      <c r="AE51" s="31">
        <f t="shared" si="51"/>
        <v>0.13804033689798811</v>
      </c>
      <c r="AF51" s="31">
        <f t="shared" si="51"/>
        <v>5.580112721380015E-2</v>
      </c>
      <c r="AG51" s="31">
        <f t="shared" si="51"/>
        <v>1.1653879223304742E-2</v>
      </c>
      <c r="AH51" s="31">
        <f t="shared" si="51"/>
        <v>0.19057277357896107</v>
      </c>
      <c r="AI51" s="31">
        <f t="shared" si="51"/>
        <v>-4.3341864551502018E-2</v>
      </c>
      <c r="AJ51" s="31">
        <f t="shared" si="51"/>
        <v>0.57470610667462707</v>
      </c>
      <c r="AK51" s="31">
        <f t="shared" si="51"/>
        <v>-0.30933245242632634</v>
      </c>
      <c r="AL51" s="31">
        <f t="shared" si="51"/>
        <v>4.7517730496005051E-4</v>
      </c>
      <c r="AM51" s="31">
        <f t="shared" si="51"/>
        <v>8.1309599072820316E-2</v>
      </c>
      <c r="AN51" s="31">
        <f t="shared" si="51"/>
        <v>-4.4205294167072973E-2</v>
      </c>
      <c r="AO51" s="31">
        <f t="shared" si="51"/>
        <v>-1.5971028410185939E-2</v>
      </c>
    </row>
    <row r="52" spans="1:41" x14ac:dyDescent="0.2">
      <c r="B52" s="1" t="s">
        <v>7</v>
      </c>
      <c r="C52" s="6">
        <v>17125.899999999998</v>
      </c>
      <c r="D52" s="6">
        <v>24643.099999999991</v>
      </c>
      <c r="E52" s="38">
        <v>33548.953993000003</v>
      </c>
      <c r="F52" s="27">
        <v>51093.61889290002</v>
      </c>
      <c r="G52" s="27">
        <v>70095.899999999994</v>
      </c>
      <c r="H52" s="27">
        <v>83813.986560469973</v>
      </c>
      <c r="I52" s="27">
        <v>86600.77293628006</v>
      </c>
      <c r="J52" s="27">
        <v>128265.06638900997</v>
      </c>
      <c r="K52" s="27">
        <v>113622.54003556001</v>
      </c>
      <c r="L52" s="27">
        <v>127326.07990344998</v>
      </c>
      <c r="M52" s="27">
        <v>128545.27532094994</v>
      </c>
      <c r="N52" s="27">
        <v>122149.98556628995</v>
      </c>
      <c r="O52" s="27">
        <v>147307.54693695006</v>
      </c>
      <c r="P52" s="27">
        <v>202295.11420916984</v>
      </c>
      <c r="Q52" s="27">
        <v>138729.07859890989</v>
      </c>
      <c r="R52" s="27">
        <v>153733.26360334962</v>
      </c>
      <c r="S52" s="27">
        <v>106238.83524911014</v>
      </c>
      <c r="T52" s="27">
        <v>178205.19016451985</v>
      </c>
      <c r="U52" s="27">
        <v>145027.14255600964</v>
      </c>
      <c r="V52" s="27">
        <v>142916.93062704022</v>
      </c>
      <c r="W52" s="31">
        <f t="shared" si="5"/>
        <v>0.43893751569260564</v>
      </c>
      <c r="X52" s="31">
        <f t="shared" si="51"/>
        <v>0.36139341207072229</v>
      </c>
      <c r="Y52" s="31">
        <f t="shared" si="51"/>
        <v>0.52295713611699246</v>
      </c>
      <c r="Z52" s="31">
        <f t="shared" si="51"/>
        <v>0.37191104327394853</v>
      </c>
      <c r="AA52" s="31">
        <f t="shared" si="51"/>
        <v>0.19570454991618602</v>
      </c>
      <c r="AB52" s="31">
        <f t="shared" si="51"/>
        <v>3.3249657845584979E-2</v>
      </c>
      <c r="AC52" s="31">
        <f t="shared" si="51"/>
        <v>0.48110763957483438</v>
      </c>
      <c r="AD52" s="31">
        <f t="shared" si="51"/>
        <v>-0.11415833449959967</v>
      </c>
      <c r="AE52" s="31">
        <f t="shared" si="51"/>
        <v>0.12060582225675653</v>
      </c>
      <c r="AF52" s="31">
        <f t="shared" si="51"/>
        <v>9.5753785746366393E-3</v>
      </c>
      <c r="AG52" s="31">
        <f t="shared" si="51"/>
        <v>-4.9751262648061734E-2</v>
      </c>
      <c r="AH52" s="31">
        <f t="shared" si="51"/>
        <v>0.20595631881599585</v>
      </c>
      <c r="AI52" s="31">
        <f t="shared" si="51"/>
        <v>0.37328411487128577</v>
      </c>
      <c r="AJ52" s="31">
        <f t="shared" si="51"/>
        <v>-0.31422427505853501</v>
      </c>
      <c r="AK52" s="31">
        <f t="shared" si="51"/>
        <v>0.10815457837660314</v>
      </c>
      <c r="AL52" s="31">
        <f t="shared" si="51"/>
        <v>-0.30894048068075131</v>
      </c>
      <c r="AM52" s="31">
        <f t="shared" si="51"/>
        <v>0.67740158056761546</v>
      </c>
      <c r="AN52" s="31">
        <f t="shared" si="51"/>
        <v>-0.18617890745987864</v>
      </c>
      <c r="AO52" s="31">
        <f t="shared" si="51"/>
        <v>-1.4550462015442744E-2</v>
      </c>
    </row>
    <row r="53" spans="1:41" x14ac:dyDescent="0.2">
      <c r="B53" s="1" t="s">
        <v>8</v>
      </c>
      <c r="C53" s="6">
        <v>297.39999999999998</v>
      </c>
      <c r="D53" s="6">
        <v>126.6</v>
      </c>
      <c r="E53" s="38">
        <v>198.7</v>
      </c>
      <c r="F53" s="27">
        <v>228.1</v>
      </c>
      <c r="G53" s="27">
        <v>429.20000000000005</v>
      </c>
      <c r="H53" s="27">
        <v>185.70018079999932</v>
      </c>
      <c r="I53" s="27">
        <v>305.11620289000007</v>
      </c>
      <c r="J53" s="27">
        <v>385.70455262999985</v>
      </c>
      <c r="K53" s="27">
        <v>1247.3309421600002</v>
      </c>
      <c r="L53" s="27">
        <v>954.66648511000051</v>
      </c>
      <c r="M53" s="27">
        <v>837.06857365000019</v>
      </c>
      <c r="N53" s="27">
        <v>417.44071050999924</v>
      </c>
      <c r="O53" s="27">
        <v>127.04239640999958</v>
      </c>
      <c r="P53" s="27">
        <v>863.60976133000042</v>
      </c>
      <c r="Q53" s="27">
        <v>841.77303480000148</v>
      </c>
      <c r="R53" s="27">
        <v>827.18013534999875</v>
      </c>
      <c r="S53" s="27">
        <v>178.34900042999968</v>
      </c>
      <c r="T53" s="27">
        <v>1764.1909548100014</v>
      </c>
      <c r="U53" s="27">
        <v>133.77895608999978</v>
      </c>
      <c r="V53" s="27">
        <v>212.9136441899991</v>
      </c>
      <c r="W53" s="31">
        <f t="shared" si="5"/>
        <v>-0.57431069266980495</v>
      </c>
      <c r="X53" s="31">
        <f t="shared" si="51"/>
        <v>0.56951026856240117</v>
      </c>
      <c r="Y53" s="31">
        <f t="shared" si="51"/>
        <v>0.14796175138399592</v>
      </c>
      <c r="Z53" s="31">
        <f t="shared" si="51"/>
        <v>0.88163086365629129</v>
      </c>
      <c r="AA53" s="31">
        <f t="shared" si="51"/>
        <v>-0.56733415470643223</v>
      </c>
      <c r="AB53" s="31">
        <f t="shared" si="51"/>
        <v>0.6430581896881018</v>
      </c>
      <c r="AC53" s="31">
        <f t="shared" si="51"/>
        <v>0.2641234682939908</v>
      </c>
      <c r="AD53" s="31">
        <f t="shared" si="51"/>
        <v>2.2339025652013618</v>
      </c>
      <c r="AE53" s="31">
        <f t="shared" si="51"/>
        <v>-0.23463256394745835</v>
      </c>
      <c r="AF53" s="31">
        <f t="shared" si="51"/>
        <v>-0.12318219325197133</v>
      </c>
      <c r="AG53" s="31">
        <f t="shared" si="51"/>
        <v>-0.50130643575619183</v>
      </c>
      <c r="AH53" s="31">
        <f t="shared" si="51"/>
        <v>-0.6956636159065841</v>
      </c>
      <c r="AI53" s="31">
        <f t="shared" si="51"/>
        <v>5.7978075487721608</v>
      </c>
      <c r="AJ53" s="31">
        <f t="shared" si="51"/>
        <v>-2.5285409577086471E-2</v>
      </c>
      <c r="AK53" s="31">
        <f t="shared" si="51"/>
        <v>-1.7335907479466672E-2</v>
      </c>
      <c r="AL53" s="31">
        <f t="shared" si="51"/>
        <v>-0.78438916409116111</v>
      </c>
      <c r="AM53" s="31">
        <f t="shared" si="51"/>
        <v>8.8917905374099924</v>
      </c>
      <c r="AN53" s="31">
        <f t="shared" si="51"/>
        <v>-0.92416979821529166</v>
      </c>
      <c r="AO53" s="31">
        <f t="shared" si="51"/>
        <v>0.59153315598278011</v>
      </c>
    </row>
    <row r="54" spans="1:41" x14ac:dyDescent="0.2">
      <c r="B54" s="17" t="s">
        <v>14</v>
      </c>
      <c r="C54" s="6">
        <v>124.2</v>
      </c>
      <c r="D54" s="6">
        <v>619</v>
      </c>
      <c r="E54" s="38">
        <v>338.4</v>
      </c>
      <c r="F54" s="27">
        <v>482.1</v>
      </c>
      <c r="G54" s="27">
        <v>1060.9000000000001</v>
      </c>
      <c r="H54" s="27">
        <v>132.79655766999986</v>
      </c>
      <c r="I54" s="27">
        <v>216.30861350000006</v>
      </c>
      <c r="J54" s="27">
        <v>0</v>
      </c>
      <c r="K54" s="27">
        <v>0</v>
      </c>
      <c r="L54" s="27">
        <v>1080.3385800000001</v>
      </c>
      <c r="M54" s="27">
        <v>0</v>
      </c>
      <c r="N54" s="27">
        <v>12449.145</v>
      </c>
      <c r="O54" s="27">
        <v>0</v>
      </c>
      <c r="P54" s="27">
        <v>2199.779700000001</v>
      </c>
      <c r="Q54" s="27">
        <v>6313.7130000000034</v>
      </c>
      <c r="R54" s="27">
        <v>17739.015415000002</v>
      </c>
      <c r="S54" s="27">
        <v>0</v>
      </c>
      <c r="T54" s="27">
        <v>0.91948799999825137</v>
      </c>
      <c r="U54" s="27">
        <v>28189.901848700003</v>
      </c>
      <c r="V54" s="27">
        <v>0</v>
      </c>
      <c r="W54" s="31">
        <f t="shared" si="5"/>
        <v>3.9838969404186795</v>
      </c>
      <c r="X54" s="31">
        <f t="shared" si="51"/>
        <v>-0.4533117932148627</v>
      </c>
      <c r="Y54" s="31">
        <f t="shared" si="51"/>
        <v>0.42464539007092217</v>
      </c>
      <c r="Z54" s="31">
        <f t="shared" si="51"/>
        <v>1.2005807923667291</v>
      </c>
      <c r="AA54" s="31">
        <f t="shared" si="51"/>
        <v>-0.87482650799321349</v>
      </c>
      <c r="AB54" s="31">
        <f t="shared" si="51"/>
        <v>0.62887214318859153</v>
      </c>
      <c r="AC54" s="31">
        <f t="shared" si="51"/>
        <v>-1</v>
      </c>
      <c r="AD54" s="31" t="e">
        <f t="shared" si="51"/>
        <v>#DIV/0!</v>
      </c>
      <c r="AE54" s="59" t="e">
        <f t="shared" si="51"/>
        <v>#DIV/0!</v>
      </c>
      <c r="AF54" s="31">
        <f t="shared" si="51"/>
        <v>-1</v>
      </c>
      <c r="AG54" s="59" t="e">
        <f t="shared" si="51"/>
        <v>#DIV/0!</v>
      </c>
      <c r="AH54" s="31">
        <f t="shared" si="51"/>
        <v>-1</v>
      </c>
      <c r="AI54" s="59" t="e">
        <f t="shared" si="51"/>
        <v>#DIV/0!</v>
      </c>
      <c r="AJ54" s="31">
        <f t="shared" si="51"/>
        <v>1.8701569525348383</v>
      </c>
      <c r="AK54" s="31">
        <f t="shared" si="51"/>
        <v>1.8096011673321217</v>
      </c>
      <c r="AL54" s="31">
        <f t="shared" si="51"/>
        <v>-1</v>
      </c>
      <c r="AM54" s="59" t="e">
        <f t="shared" si="51"/>
        <v>#DIV/0!</v>
      </c>
      <c r="AN54" s="31">
        <f t="shared" si="51"/>
        <v>30657.259649667656</v>
      </c>
      <c r="AO54" s="31">
        <f t="shared" si="51"/>
        <v>-1</v>
      </c>
    </row>
    <row r="55" spans="1:41" x14ac:dyDescent="0.2">
      <c r="C55" s="6"/>
      <c r="D55" s="6"/>
      <c r="E55" s="3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x14ac:dyDescent="0.2">
      <c r="A56" s="7"/>
      <c r="B56" s="16" t="s">
        <v>9</v>
      </c>
      <c r="C56" s="20">
        <f>+C58+C59</f>
        <v>4730.3</v>
      </c>
      <c r="D56" s="20">
        <f t="shared" ref="D56:L56" si="52">+D58+D59</f>
        <v>19716.2</v>
      </c>
      <c r="E56" s="40">
        <f t="shared" si="52"/>
        <v>36382.799999999996</v>
      </c>
      <c r="F56" s="20">
        <f t="shared" si="52"/>
        <v>36807.399999999987</v>
      </c>
      <c r="G56" s="20">
        <f t="shared" si="52"/>
        <v>21686.600000000002</v>
      </c>
      <c r="H56" s="20">
        <f t="shared" si="52"/>
        <v>20820.875158409999</v>
      </c>
      <c r="I56" s="20">
        <f t="shared" si="52"/>
        <v>18979.551818249995</v>
      </c>
      <c r="J56" s="21">
        <f t="shared" si="52"/>
        <v>32285.006446830008</v>
      </c>
      <c r="K56" s="20">
        <f t="shared" si="52"/>
        <v>52196.357839100012</v>
      </c>
      <c r="L56" s="20">
        <f t="shared" si="52"/>
        <v>26147.790082179996</v>
      </c>
      <c r="M56" s="20">
        <f t="shared" ref="M56:V56" si="53">+M58+M59</f>
        <v>26023.426225610016</v>
      </c>
      <c r="N56" s="20">
        <f t="shared" si="53"/>
        <v>39221.395279910023</v>
      </c>
      <c r="O56" s="20">
        <f t="shared" si="53"/>
        <v>46318.235690330002</v>
      </c>
      <c r="P56" s="20">
        <f t="shared" si="53"/>
        <v>38450.445592479999</v>
      </c>
      <c r="Q56" s="20">
        <f t="shared" si="53"/>
        <v>29848.205014110019</v>
      </c>
      <c r="R56" s="20">
        <f t="shared" si="53"/>
        <v>53810.964796719971</v>
      </c>
      <c r="S56" s="20">
        <f t="shared" si="53"/>
        <v>51960.431811859926</v>
      </c>
      <c r="T56" s="20">
        <f t="shared" si="53"/>
        <v>43633.027792130008</v>
      </c>
      <c r="U56" s="20">
        <f t="shared" si="53"/>
        <v>47495.18422802999</v>
      </c>
      <c r="V56" s="20">
        <f t="shared" si="53"/>
        <v>47816.834269209976</v>
      </c>
      <c r="W56" s="29">
        <f t="shared" si="5"/>
        <v>3.1680654503942671</v>
      </c>
      <c r="X56" s="29">
        <f t="shared" ref="X56:AO56" si="54">+E56/D56-1</f>
        <v>0.84532516407827041</v>
      </c>
      <c r="Y56" s="29">
        <f t="shared" si="54"/>
        <v>1.1670349725694251E-2</v>
      </c>
      <c r="Z56" s="29">
        <f t="shared" si="54"/>
        <v>-0.41080869607741899</v>
      </c>
      <c r="AA56" s="29">
        <f t="shared" si="54"/>
        <v>-3.9919804929772429E-2</v>
      </c>
      <c r="AB56" s="29">
        <f t="shared" si="54"/>
        <v>-8.8436404625203968E-2</v>
      </c>
      <c r="AC56" s="29">
        <f t="shared" si="54"/>
        <v>0.70104156072779378</v>
      </c>
      <c r="AD56" s="29">
        <f t="shared" si="54"/>
        <v>0.61673679468089615</v>
      </c>
      <c r="AE56" s="29">
        <f t="shared" si="54"/>
        <v>-0.49904952826818072</v>
      </c>
      <c r="AF56" s="29">
        <f t="shared" si="54"/>
        <v>-4.7561899563640653E-3</v>
      </c>
      <c r="AG56" s="29">
        <f t="shared" si="54"/>
        <v>0.50715724132096418</v>
      </c>
      <c r="AH56" s="29">
        <f t="shared" si="54"/>
        <v>0.18094308883639143</v>
      </c>
      <c r="AI56" s="29">
        <f t="shared" si="54"/>
        <v>-0.16986376921719815</v>
      </c>
      <c r="AJ56" s="29">
        <f t="shared" si="54"/>
        <v>-0.22372277995270817</v>
      </c>
      <c r="AK56" s="29">
        <f t="shared" si="54"/>
        <v>0.8028207984795781</v>
      </c>
      <c r="AL56" s="29">
        <f t="shared" si="54"/>
        <v>-3.4389515070966437E-2</v>
      </c>
      <c r="AM56" s="29">
        <f t="shared" si="54"/>
        <v>-0.16026433440511156</v>
      </c>
      <c r="AN56" s="29">
        <f t="shared" si="54"/>
        <v>8.8514518274997789E-2</v>
      </c>
      <c r="AO56" s="29">
        <f t="shared" si="54"/>
        <v>6.7722664183320624E-3</v>
      </c>
    </row>
    <row r="57" spans="1:41" x14ac:dyDescent="0.2">
      <c r="C57" s="6"/>
      <c r="D57" s="6"/>
      <c r="E57" s="3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x14ac:dyDescent="0.2">
      <c r="B58" s="1" t="s">
        <v>13</v>
      </c>
      <c r="C58" s="6">
        <v>1363.2</v>
      </c>
      <c r="D58" s="6">
        <v>3235.8</v>
      </c>
      <c r="E58" s="38">
        <v>2462.9000000000015</v>
      </c>
      <c r="F58" s="27">
        <v>7805.3999999999887</v>
      </c>
      <c r="G58" s="27">
        <v>3656.7000000000007</v>
      </c>
      <c r="H58" s="27">
        <v>3655.2835425900016</v>
      </c>
      <c r="I58" s="27">
        <v>2979.6791749900012</v>
      </c>
      <c r="J58" s="27">
        <v>3368.4574931700008</v>
      </c>
      <c r="K58" s="27">
        <v>4741.5496028099933</v>
      </c>
      <c r="L58" s="27">
        <v>5651.2439216100065</v>
      </c>
      <c r="M58" s="27">
        <v>4988.6957581699999</v>
      </c>
      <c r="N58" s="27">
        <v>4942.4886296499972</v>
      </c>
      <c r="O58" s="27">
        <v>3103.8056963999979</v>
      </c>
      <c r="P58" s="27">
        <v>3556.2352842900045</v>
      </c>
      <c r="Q58" s="27">
        <v>3884.2372346000029</v>
      </c>
      <c r="R58" s="27">
        <v>22322.58993233</v>
      </c>
      <c r="S58" s="27">
        <v>19208.955825089968</v>
      </c>
      <c r="T58" s="27">
        <v>20991.792072529977</v>
      </c>
      <c r="U58" s="27">
        <v>21951.451468569961</v>
      </c>
      <c r="V58" s="27">
        <v>20894.197927840003</v>
      </c>
      <c r="W58" s="31">
        <f t="shared" si="5"/>
        <v>1.373679577464789</v>
      </c>
      <c r="X58" s="31">
        <f t="shared" ref="X58:AO63" si="55">+E58/D58-1</f>
        <v>-0.23885901477223526</v>
      </c>
      <c r="Y58" s="31">
        <f t="shared" si="55"/>
        <v>2.1691907913435315</v>
      </c>
      <c r="Z58" s="31">
        <f t="shared" si="55"/>
        <v>-0.53151664232454376</v>
      </c>
      <c r="AA58" s="31">
        <f t="shared" si="55"/>
        <v>-3.8735947985868435E-4</v>
      </c>
      <c r="AB58" s="31">
        <f t="shared" si="55"/>
        <v>-0.18482953777131383</v>
      </c>
      <c r="AC58" s="31">
        <f t="shared" si="55"/>
        <v>0.13047656990833723</v>
      </c>
      <c r="AD58" s="31">
        <f t="shared" si="55"/>
        <v>0.40763231016692969</v>
      </c>
      <c r="AE58" s="31">
        <f t="shared" si="55"/>
        <v>0.19185591104243627</v>
      </c>
      <c r="AF58" s="31">
        <f t="shared" si="55"/>
        <v>-0.11723934989011242</v>
      </c>
      <c r="AG58" s="31">
        <f t="shared" si="55"/>
        <v>-9.2623665101904118E-3</v>
      </c>
      <c r="AH58" s="31">
        <f t="shared" si="55"/>
        <v>-0.37201561217960877</v>
      </c>
      <c r="AI58" s="31">
        <f t="shared" si="55"/>
        <v>0.14576607949871501</v>
      </c>
      <c r="AJ58" s="31">
        <f t="shared" si="55"/>
        <v>9.2232916016264932E-2</v>
      </c>
      <c r="AK58" s="31">
        <f t="shared" si="55"/>
        <v>4.746968731334138</v>
      </c>
      <c r="AL58" s="31">
        <f t="shared" si="55"/>
        <v>-0.1394835508190978</v>
      </c>
      <c r="AM58" s="31">
        <f t="shared" si="55"/>
        <v>9.2812762113354541E-2</v>
      </c>
      <c r="AN58" s="31">
        <f t="shared" si="55"/>
        <v>4.5715934719827933E-2</v>
      </c>
      <c r="AO58" s="31">
        <f t="shared" si="55"/>
        <v>-4.816326347456934E-2</v>
      </c>
    </row>
    <row r="59" spans="1:41" x14ac:dyDescent="0.2">
      <c r="B59" s="1" t="s">
        <v>5</v>
      </c>
      <c r="C59" s="5">
        <f>+C60+C61+C62+C63</f>
        <v>3367.1</v>
      </c>
      <c r="D59" s="5">
        <f t="shared" ref="D59:O59" si="56">+D60+D61+D62+D63</f>
        <v>16480.400000000001</v>
      </c>
      <c r="E59" s="39">
        <f t="shared" si="56"/>
        <v>33919.899999999994</v>
      </c>
      <c r="F59" s="5">
        <f t="shared" si="56"/>
        <v>29002</v>
      </c>
      <c r="G59" s="5">
        <f t="shared" si="56"/>
        <v>18029.900000000001</v>
      </c>
      <c r="H59" s="5">
        <f t="shared" si="56"/>
        <v>17165.591615819998</v>
      </c>
      <c r="I59" s="5">
        <f t="shared" si="56"/>
        <v>15999.872643259994</v>
      </c>
      <c r="J59" s="5">
        <f t="shared" si="56"/>
        <v>28916.548953660007</v>
      </c>
      <c r="K59" s="5">
        <f t="shared" si="56"/>
        <v>47454.808236290017</v>
      </c>
      <c r="L59" s="5">
        <f t="shared" si="56"/>
        <v>20496.546160569989</v>
      </c>
      <c r="M59" s="5">
        <f t="shared" si="56"/>
        <v>21034.730467440015</v>
      </c>
      <c r="N59" s="5">
        <f t="shared" si="56"/>
        <v>34278.906650260025</v>
      </c>
      <c r="O59" s="5">
        <f t="shared" si="56"/>
        <v>43214.429993930004</v>
      </c>
      <c r="P59" s="5">
        <f t="shared" ref="P59:V59" si="57">+P60+P61+P62+P63</f>
        <v>34894.210308189991</v>
      </c>
      <c r="Q59" s="5">
        <f t="shared" si="57"/>
        <v>25963.967779510018</v>
      </c>
      <c r="R59" s="5">
        <f t="shared" si="57"/>
        <v>31488.374864389967</v>
      </c>
      <c r="S59" s="5">
        <f t="shared" si="57"/>
        <v>32751.475986769958</v>
      </c>
      <c r="T59" s="5">
        <f t="shared" si="57"/>
        <v>22641.23571960003</v>
      </c>
      <c r="U59" s="5">
        <f t="shared" si="57"/>
        <v>25543.732759460032</v>
      </c>
      <c r="V59" s="5">
        <f t="shared" si="57"/>
        <v>26922.636341369973</v>
      </c>
      <c r="W59" s="31">
        <f t="shared" si="5"/>
        <v>3.8945383267500224</v>
      </c>
      <c r="X59" s="31">
        <f t="shared" si="55"/>
        <v>1.0581964029999265</v>
      </c>
      <c r="Y59" s="31">
        <f t="shared" si="55"/>
        <v>-0.14498568686818047</v>
      </c>
      <c r="Z59" s="31">
        <f t="shared" si="55"/>
        <v>-0.3783221846769188</v>
      </c>
      <c r="AA59" s="31">
        <f t="shared" si="55"/>
        <v>-4.7937502935679221E-2</v>
      </c>
      <c r="AB59" s="31">
        <f t="shared" si="55"/>
        <v>-6.7910212397553793E-2</v>
      </c>
      <c r="AC59" s="31">
        <f t="shared" si="55"/>
        <v>0.80729869533312892</v>
      </c>
      <c r="AD59" s="31">
        <f t="shared" si="55"/>
        <v>0.64109514978216642</v>
      </c>
      <c r="AE59" s="31">
        <f t="shared" si="55"/>
        <v>-0.56808283665351089</v>
      </c>
      <c r="AF59" s="31">
        <f t="shared" si="55"/>
        <v>2.6257316850062828E-2</v>
      </c>
      <c r="AG59" s="31">
        <f t="shared" si="55"/>
        <v>0.62963374802072591</v>
      </c>
      <c r="AH59" s="31">
        <f t="shared" si="55"/>
        <v>0.2606711886944677</v>
      </c>
      <c r="AI59" s="31">
        <f t="shared" si="55"/>
        <v>-0.19253336644515939</v>
      </c>
      <c r="AJ59" s="31">
        <f t="shared" si="55"/>
        <v>-0.25592333082786412</v>
      </c>
      <c r="AK59" s="31">
        <f t="shared" si="55"/>
        <v>0.2127720667270141</v>
      </c>
      <c r="AL59" s="31">
        <f t="shared" si="55"/>
        <v>4.0113252202431893E-2</v>
      </c>
      <c r="AM59" s="31">
        <f t="shared" si="55"/>
        <v>-0.30869571408793861</v>
      </c>
      <c r="AN59" s="31">
        <f t="shared" si="55"/>
        <v>0.12819516901841954</v>
      </c>
      <c r="AO59" s="31">
        <f t="shared" si="55"/>
        <v>5.3982070470858234E-2</v>
      </c>
    </row>
    <row r="60" spans="1:41" x14ac:dyDescent="0.2">
      <c r="B60" s="1" t="s">
        <v>6</v>
      </c>
      <c r="C60" s="6">
        <v>60.9</v>
      </c>
      <c r="D60" s="6">
        <v>11.8</v>
      </c>
      <c r="E60" s="38">
        <v>48</v>
      </c>
      <c r="F60" s="27">
        <v>322.8</v>
      </c>
      <c r="G60" s="27">
        <v>384.89999999999986</v>
      </c>
      <c r="H60" s="27">
        <v>376.34397272000001</v>
      </c>
      <c r="I60" s="27">
        <v>220.03394700000075</v>
      </c>
      <c r="J60" s="27">
        <v>266.75876500000004</v>
      </c>
      <c r="K60" s="27">
        <v>818.7734829999996</v>
      </c>
      <c r="L60" s="27">
        <v>25</v>
      </c>
      <c r="M60" s="27">
        <v>898.98341099999971</v>
      </c>
      <c r="N60" s="27">
        <v>16.666665999999964</v>
      </c>
      <c r="O60" s="27">
        <v>1054.0666369999992</v>
      </c>
      <c r="P60" s="27">
        <v>1236.0807980000009</v>
      </c>
      <c r="Q60" s="27">
        <v>806.72001099999989</v>
      </c>
      <c r="R60" s="27">
        <v>1665.5742179100009</v>
      </c>
      <c r="S60" s="27">
        <v>3743.4523282599985</v>
      </c>
      <c r="T60" s="27">
        <v>105.63573679999995</v>
      </c>
      <c r="U60" s="27">
        <v>58.450062500000051</v>
      </c>
      <c r="V60" s="27">
        <v>59.293724999999988</v>
      </c>
      <c r="W60" s="31">
        <f t="shared" si="5"/>
        <v>-0.80623973727422005</v>
      </c>
      <c r="X60" s="31">
        <f t="shared" si="55"/>
        <v>3.0677966101694913</v>
      </c>
      <c r="Y60" s="31">
        <f t="shared" si="55"/>
        <v>5.7250000000000005</v>
      </c>
      <c r="Z60" s="31">
        <f t="shared" si="55"/>
        <v>0.19237918215613337</v>
      </c>
      <c r="AA60" s="31">
        <f t="shared" si="55"/>
        <v>-2.2229221304234437E-2</v>
      </c>
      <c r="AB60" s="31">
        <f t="shared" si="55"/>
        <v>-0.41533819338271682</v>
      </c>
      <c r="AC60" s="31">
        <f t="shared" si="55"/>
        <v>0.21235276936607939</v>
      </c>
      <c r="AD60" s="31">
        <f t="shared" si="55"/>
        <v>2.0693405069557862</v>
      </c>
      <c r="AE60" s="31">
        <f t="shared" si="55"/>
        <v>-0.96946652460165228</v>
      </c>
      <c r="AF60" s="31">
        <f t="shared" si="55"/>
        <v>34.959336439999987</v>
      </c>
      <c r="AG60" s="31">
        <f t="shared" si="55"/>
        <v>-0.98146054110001812</v>
      </c>
      <c r="AH60" s="31">
        <f t="shared" si="55"/>
        <v>62.244000749760119</v>
      </c>
      <c r="AI60" s="31">
        <f t="shared" si="55"/>
        <v>0.17267804008865695</v>
      </c>
      <c r="AJ60" s="31">
        <f t="shared" si="55"/>
        <v>-0.34735657061796754</v>
      </c>
      <c r="AK60" s="31">
        <f t="shared" si="55"/>
        <v>1.0646248948819013</v>
      </c>
      <c r="AL60" s="31">
        <f t="shared" si="55"/>
        <v>1.247544593333922</v>
      </c>
      <c r="AM60" s="31">
        <f t="shared" si="55"/>
        <v>-0.97178119886754355</v>
      </c>
      <c r="AN60" s="31">
        <f t="shared" si="55"/>
        <v>-0.44668287200321699</v>
      </c>
      <c r="AO60" s="31">
        <f t="shared" si="55"/>
        <v>1.4433902444500157E-2</v>
      </c>
    </row>
    <row r="61" spans="1:41" x14ac:dyDescent="0.2">
      <c r="B61" s="1" t="s">
        <v>7</v>
      </c>
      <c r="C61" s="6">
        <f>4260.5-1000</f>
        <v>3260.5</v>
      </c>
      <c r="D61" s="6">
        <f>17277.4-875</f>
        <v>16402.400000000001</v>
      </c>
      <c r="E61" s="38">
        <f>34488.7-822</f>
        <v>33666.699999999997</v>
      </c>
      <c r="F61" s="27">
        <v>21117.8</v>
      </c>
      <c r="G61" s="27">
        <v>17559.099999999999</v>
      </c>
      <c r="H61" s="27">
        <f>15726.440323-1125</f>
        <v>14601.440323000001</v>
      </c>
      <c r="I61" s="27">
        <v>15726.838696259994</v>
      </c>
      <c r="J61" s="27">
        <v>28012.80938684001</v>
      </c>
      <c r="K61" s="27">
        <v>39784.711785940017</v>
      </c>
      <c r="L61" s="27">
        <v>6027.7897877299911</v>
      </c>
      <c r="M61" s="27">
        <v>19376.660680880006</v>
      </c>
      <c r="N61" s="27">
        <v>31065.583417440022</v>
      </c>
      <c r="O61" s="27">
        <v>40900.314066980005</v>
      </c>
      <c r="P61" s="27">
        <v>32655.921109269999</v>
      </c>
      <c r="Q61" s="27">
        <v>25097.070369850015</v>
      </c>
      <c r="R61" s="27">
        <v>29596.919140209968</v>
      </c>
      <c r="S61" s="27">
        <v>28889.538474149958</v>
      </c>
      <c r="T61" s="27">
        <v>22510.018038840033</v>
      </c>
      <c r="U61" s="27">
        <v>25470.667606730036</v>
      </c>
      <c r="V61" s="27">
        <v>22630.68797166997</v>
      </c>
      <c r="W61" s="31">
        <f t="shared" si="5"/>
        <v>4.0306394724735473</v>
      </c>
      <c r="X61" s="31">
        <f t="shared" si="55"/>
        <v>1.0525471882163582</v>
      </c>
      <c r="Y61" s="31">
        <f t="shared" si="55"/>
        <v>-0.37273923491164862</v>
      </c>
      <c r="Z61" s="31">
        <f t="shared" si="55"/>
        <v>-0.16851660684351588</v>
      </c>
      <c r="AA61" s="31">
        <f t="shared" si="55"/>
        <v>-0.1684402775199183</v>
      </c>
      <c r="AB61" s="31">
        <f t="shared" si="55"/>
        <v>7.707447678892887E-2</v>
      </c>
      <c r="AC61" s="31">
        <f t="shared" si="55"/>
        <v>0.78121044717663102</v>
      </c>
      <c r="AD61" s="31">
        <f t="shared" si="55"/>
        <v>0.4202328383610916</v>
      </c>
      <c r="AE61" s="31">
        <f t="shared" si="55"/>
        <v>-0.84848979627746801</v>
      </c>
      <c r="AF61" s="31">
        <f t="shared" si="55"/>
        <v>2.2145548141580225</v>
      </c>
      <c r="AG61" s="31">
        <f t="shared" si="55"/>
        <v>0.60324753212477455</v>
      </c>
      <c r="AH61" s="31">
        <f t="shared" si="55"/>
        <v>0.31657962180806254</v>
      </c>
      <c r="AI61" s="31">
        <f t="shared" si="55"/>
        <v>-0.20157285208638387</v>
      </c>
      <c r="AJ61" s="31">
        <f t="shared" si="55"/>
        <v>-0.23146953087396638</v>
      </c>
      <c r="AK61" s="31">
        <f t="shared" si="55"/>
        <v>0.17929777077749187</v>
      </c>
      <c r="AL61" s="31">
        <f t="shared" si="55"/>
        <v>-2.3900483111398252E-2</v>
      </c>
      <c r="AM61" s="31">
        <f t="shared" si="55"/>
        <v>-0.22082458814696015</v>
      </c>
      <c r="AN61" s="31">
        <f t="shared" si="55"/>
        <v>0.13152586385233156</v>
      </c>
      <c r="AO61" s="31">
        <f t="shared" si="55"/>
        <v>-0.11150000773084046</v>
      </c>
    </row>
    <row r="62" spans="1:41" x14ac:dyDescent="0.2">
      <c r="B62" s="1" t="s">
        <v>8</v>
      </c>
      <c r="C62" s="6">
        <v>10</v>
      </c>
      <c r="D62" s="6">
        <v>7</v>
      </c>
      <c r="E62" s="38">
        <v>7.1000000000000014</v>
      </c>
      <c r="F62" s="27">
        <v>8.3000000000000007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31">
        <f t="shared" si="5"/>
        <v>-0.30000000000000004</v>
      </c>
      <c r="X62" s="31">
        <f t="shared" si="55"/>
        <v>1.4285714285714457E-2</v>
      </c>
      <c r="Y62" s="31">
        <f t="shared" si="55"/>
        <v>0.16901408450704203</v>
      </c>
      <c r="Z62" s="31">
        <f t="shared" si="55"/>
        <v>-1</v>
      </c>
      <c r="AA62" s="31" t="e">
        <f t="shared" si="55"/>
        <v>#DIV/0!</v>
      </c>
      <c r="AB62" s="31" t="e">
        <f t="shared" si="55"/>
        <v>#DIV/0!</v>
      </c>
      <c r="AC62" s="31" t="e">
        <f t="shared" si="55"/>
        <v>#DIV/0!</v>
      </c>
      <c r="AD62" s="59" t="e">
        <f t="shared" si="55"/>
        <v>#DIV/0!</v>
      </c>
      <c r="AE62" s="59" t="e">
        <f t="shared" si="55"/>
        <v>#DIV/0!</v>
      </c>
      <c r="AF62" s="59" t="e">
        <f t="shared" si="55"/>
        <v>#DIV/0!</v>
      </c>
      <c r="AG62" s="59" t="e">
        <f t="shared" si="55"/>
        <v>#DIV/0!</v>
      </c>
      <c r="AH62" s="59" t="e">
        <f t="shared" si="55"/>
        <v>#DIV/0!</v>
      </c>
      <c r="AI62" s="59" t="e">
        <f t="shared" si="55"/>
        <v>#DIV/0!</v>
      </c>
      <c r="AJ62" s="59" t="e">
        <f t="shared" si="55"/>
        <v>#DIV/0!</v>
      </c>
      <c r="AK62" s="59" t="e">
        <f t="shared" si="55"/>
        <v>#DIV/0!</v>
      </c>
      <c r="AL62" s="59" t="e">
        <f t="shared" si="55"/>
        <v>#DIV/0!</v>
      </c>
      <c r="AM62" s="59" t="e">
        <f t="shared" si="55"/>
        <v>#DIV/0!</v>
      </c>
      <c r="AN62" s="59" t="e">
        <f t="shared" si="55"/>
        <v>#DIV/0!</v>
      </c>
      <c r="AO62" s="59" t="e">
        <f t="shared" si="55"/>
        <v>#DIV/0!</v>
      </c>
    </row>
    <row r="63" spans="1:41" x14ac:dyDescent="0.2">
      <c r="B63" s="52" t="s">
        <v>15</v>
      </c>
      <c r="C63" s="6">
        <v>35.699999999999818</v>
      </c>
      <c r="D63" s="6">
        <v>59.2</v>
      </c>
      <c r="E63" s="38">
        <v>198.1</v>
      </c>
      <c r="F63" s="27">
        <v>7553.1</v>
      </c>
      <c r="G63" s="27">
        <v>85.899999999999636</v>
      </c>
      <c r="H63" s="27">
        <v>2187.807320099997</v>
      </c>
      <c r="I63" s="27">
        <v>53.000000000000114</v>
      </c>
      <c r="J63" s="27">
        <v>636.9808018199966</v>
      </c>
      <c r="K63" s="27">
        <v>6851.3229673500027</v>
      </c>
      <c r="L63" s="27">
        <v>14443.756372839998</v>
      </c>
      <c r="M63" s="27">
        <v>759.08637556000906</v>
      </c>
      <c r="N63" s="27">
        <v>3196.6565668200001</v>
      </c>
      <c r="O63" s="27">
        <v>1260.04928995</v>
      </c>
      <c r="P63" s="27">
        <v>1002.2084009199898</v>
      </c>
      <c r="Q63" s="27">
        <v>60.177398660001231</v>
      </c>
      <c r="R63" s="27">
        <v>225.88150626999894</v>
      </c>
      <c r="S63" s="27">
        <v>118.48518436000198</v>
      </c>
      <c r="T63" s="27">
        <v>25.581943959999194</v>
      </c>
      <c r="U63" s="27">
        <v>14.615090229997449</v>
      </c>
      <c r="V63" s="27">
        <v>4232.6546447000037</v>
      </c>
      <c r="W63" s="31">
        <f t="shared" si="5"/>
        <v>0.65826330532213739</v>
      </c>
      <c r="X63" s="31">
        <f t="shared" si="55"/>
        <v>2.3462837837837833</v>
      </c>
      <c r="Y63" s="31">
        <f t="shared" si="55"/>
        <v>37.127713276123174</v>
      </c>
      <c r="Z63" s="31">
        <f t="shared" si="55"/>
        <v>-0.98862718618845247</v>
      </c>
      <c r="AA63" s="31">
        <f t="shared" si="55"/>
        <v>24.469235391152576</v>
      </c>
      <c r="AB63" s="31">
        <f t="shared" si="55"/>
        <v>-0.97577483194563142</v>
      </c>
      <c r="AC63" s="31">
        <f t="shared" si="55"/>
        <v>11.018505694716891</v>
      </c>
      <c r="AD63" s="31">
        <f t="shared" si="55"/>
        <v>9.7559332208666891</v>
      </c>
      <c r="AE63" s="31">
        <f t="shared" si="55"/>
        <v>1.1081704134620067</v>
      </c>
      <c r="AF63" s="31">
        <f t="shared" si="55"/>
        <v>-0.94744536282906344</v>
      </c>
      <c r="AG63" s="31">
        <f t="shared" si="55"/>
        <v>3.2111894900783797</v>
      </c>
      <c r="AH63" s="31">
        <f t="shared" si="55"/>
        <v>-0.60582275148703779</v>
      </c>
      <c r="AI63" s="31">
        <f t="shared" si="55"/>
        <v>-0.20462762138474888</v>
      </c>
      <c r="AJ63" s="31">
        <f t="shared" si="55"/>
        <v>-0.93995520432201463</v>
      </c>
      <c r="AK63" s="31">
        <f t="shared" si="55"/>
        <v>2.7535937295365023</v>
      </c>
      <c r="AL63" s="31">
        <f t="shared" si="55"/>
        <v>-0.47545424892653587</v>
      </c>
      <c r="AM63" s="31">
        <f t="shared" si="55"/>
        <v>-0.78409162210296479</v>
      </c>
      <c r="AN63" s="31">
        <f t="shared" si="55"/>
        <v>-0.42869508850265226</v>
      </c>
      <c r="AO63" s="31">
        <f t="shared" si="55"/>
        <v>288.60851955689515</v>
      </c>
    </row>
    <row r="64" spans="1:41" x14ac:dyDescent="0.2">
      <c r="B64" s="52"/>
      <c r="C64" s="6"/>
      <c r="D64" s="6"/>
      <c r="E64" s="38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</row>
    <row r="65" spans="1:43" x14ac:dyDescent="0.2">
      <c r="B65" s="65" t="s">
        <v>57</v>
      </c>
      <c r="C65" s="27">
        <f t="shared" ref="C65:K65" si="58">C66-C67</f>
        <v>0</v>
      </c>
      <c r="D65" s="27">
        <f t="shared" si="58"/>
        <v>0</v>
      </c>
      <c r="E65" s="27">
        <f t="shared" si="58"/>
        <v>0</v>
      </c>
      <c r="F65" s="27">
        <f t="shared" si="58"/>
        <v>0</v>
      </c>
      <c r="G65" s="27">
        <f t="shared" si="58"/>
        <v>0</v>
      </c>
      <c r="H65" s="27">
        <f t="shared" si="58"/>
        <v>0</v>
      </c>
      <c r="I65" s="27">
        <f t="shared" si="58"/>
        <v>0</v>
      </c>
      <c r="J65" s="27">
        <f t="shared" si="58"/>
        <v>0</v>
      </c>
      <c r="K65" s="27">
        <f t="shared" si="58"/>
        <v>0</v>
      </c>
      <c r="L65" s="27">
        <f t="shared" ref="L65:V65" si="59">+L66-L67</f>
        <v>0</v>
      </c>
      <c r="M65" s="27">
        <f t="shared" si="59"/>
        <v>0</v>
      </c>
      <c r="N65" s="27">
        <f t="shared" si="59"/>
        <v>660.15740000000005</v>
      </c>
      <c r="O65" s="27">
        <f t="shared" si="59"/>
        <v>0</v>
      </c>
      <c r="P65" s="27">
        <f t="shared" si="59"/>
        <v>0</v>
      </c>
      <c r="Q65" s="27">
        <f t="shared" si="59"/>
        <v>0</v>
      </c>
      <c r="R65" s="27">
        <f t="shared" si="59"/>
        <v>0</v>
      </c>
      <c r="S65" s="27">
        <f t="shared" si="59"/>
        <v>0</v>
      </c>
      <c r="T65" s="27">
        <f t="shared" si="59"/>
        <v>0</v>
      </c>
      <c r="U65" s="27">
        <f t="shared" si="59"/>
        <v>0</v>
      </c>
      <c r="V65" s="27">
        <f t="shared" si="59"/>
        <v>2031.12</v>
      </c>
      <c r="W65" s="59" t="e">
        <f t="shared" si="5"/>
        <v>#DIV/0!</v>
      </c>
      <c r="X65" s="59" t="e">
        <f t="shared" ref="X65:AO67" si="60">+E65/D65-1</f>
        <v>#DIV/0!</v>
      </c>
      <c r="Y65" s="59" t="e">
        <f t="shared" si="60"/>
        <v>#DIV/0!</v>
      </c>
      <c r="Z65" s="59" t="e">
        <f t="shared" si="60"/>
        <v>#DIV/0!</v>
      </c>
      <c r="AA65" s="59" t="e">
        <f t="shared" si="60"/>
        <v>#DIV/0!</v>
      </c>
      <c r="AB65" s="59" t="e">
        <f t="shared" si="60"/>
        <v>#DIV/0!</v>
      </c>
      <c r="AC65" s="59" t="e">
        <f t="shared" si="60"/>
        <v>#DIV/0!</v>
      </c>
      <c r="AD65" s="59" t="e">
        <f t="shared" si="60"/>
        <v>#DIV/0!</v>
      </c>
      <c r="AE65" s="59" t="e">
        <f t="shared" si="60"/>
        <v>#DIV/0!</v>
      </c>
      <c r="AF65" s="59" t="e">
        <f t="shared" si="60"/>
        <v>#DIV/0!</v>
      </c>
      <c r="AG65" s="59" t="e">
        <f t="shared" si="60"/>
        <v>#DIV/0!</v>
      </c>
      <c r="AH65" s="31">
        <f t="shared" si="60"/>
        <v>-1</v>
      </c>
      <c r="AI65" s="59" t="e">
        <f t="shared" si="60"/>
        <v>#DIV/0!</v>
      </c>
      <c r="AJ65" s="59" t="e">
        <f t="shared" si="60"/>
        <v>#DIV/0!</v>
      </c>
      <c r="AK65" s="59" t="e">
        <f t="shared" si="60"/>
        <v>#DIV/0!</v>
      </c>
      <c r="AL65" s="59" t="e">
        <f t="shared" si="60"/>
        <v>#DIV/0!</v>
      </c>
      <c r="AM65" s="59" t="e">
        <f t="shared" si="60"/>
        <v>#DIV/0!</v>
      </c>
      <c r="AN65" s="59" t="e">
        <f t="shared" si="60"/>
        <v>#DIV/0!</v>
      </c>
      <c r="AO65" s="59" t="e">
        <f t="shared" si="60"/>
        <v>#DIV/0!</v>
      </c>
    </row>
    <row r="66" spans="1:43" x14ac:dyDescent="0.2">
      <c r="B66" s="66" t="s">
        <v>58</v>
      </c>
      <c r="C66" s="6"/>
      <c r="D66" s="6"/>
      <c r="E66" s="38"/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660.15740000000005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2031.12</v>
      </c>
      <c r="W66" s="59" t="e">
        <f t="shared" si="5"/>
        <v>#DIV/0!</v>
      </c>
      <c r="X66" s="59" t="e">
        <f t="shared" si="60"/>
        <v>#DIV/0!</v>
      </c>
      <c r="Y66" s="59" t="e">
        <f t="shared" si="60"/>
        <v>#DIV/0!</v>
      </c>
      <c r="Z66" s="59" t="e">
        <f t="shared" si="60"/>
        <v>#DIV/0!</v>
      </c>
      <c r="AA66" s="59" t="e">
        <f t="shared" si="60"/>
        <v>#DIV/0!</v>
      </c>
      <c r="AB66" s="59" t="e">
        <f t="shared" si="60"/>
        <v>#DIV/0!</v>
      </c>
      <c r="AC66" s="59" t="e">
        <f t="shared" si="60"/>
        <v>#DIV/0!</v>
      </c>
      <c r="AD66" s="59" t="e">
        <f t="shared" si="60"/>
        <v>#DIV/0!</v>
      </c>
      <c r="AE66" s="59" t="e">
        <f t="shared" si="60"/>
        <v>#DIV/0!</v>
      </c>
      <c r="AF66" s="59" t="e">
        <f t="shared" si="60"/>
        <v>#DIV/0!</v>
      </c>
      <c r="AG66" s="59" t="e">
        <f t="shared" si="60"/>
        <v>#DIV/0!</v>
      </c>
      <c r="AH66" s="31">
        <f t="shared" si="60"/>
        <v>-1</v>
      </c>
      <c r="AI66" s="59" t="e">
        <f t="shared" si="60"/>
        <v>#DIV/0!</v>
      </c>
      <c r="AJ66" s="59" t="e">
        <f t="shared" si="60"/>
        <v>#DIV/0!</v>
      </c>
      <c r="AK66" s="59" t="e">
        <f t="shared" si="60"/>
        <v>#DIV/0!</v>
      </c>
      <c r="AL66" s="59" t="e">
        <f t="shared" si="60"/>
        <v>#DIV/0!</v>
      </c>
      <c r="AM66" s="59" t="e">
        <f t="shared" si="60"/>
        <v>#DIV/0!</v>
      </c>
      <c r="AN66" s="59" t="e">
        <f t="shared" si="60"/>
        <v>#DIV/0!</v>
      </c>
      <c r="AO66" s="59" t="e">
        <f t="shared" si="60"/>
        <v>#DIV/0!</v>
      </c>
    </row>
    <row r="67" spans="1:43" x14ac:dyDescent="0.2">
      <c r="B67" s="1" t="s">
        <v>59</v>
      </c>
      <c r="C67" s="6"/>
      <c r="D67" s="6"/>
      <c r="E67" s="6"/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59" t="e">
        <f t="shared" si="5"/>
        <v>#DIV/0!</v>
      </c>
      <c r="X67" s="59" t="e">
        <f t="shared" si="60"/>
        <v>#DIV/0!</v>
      </c>
      <c r="Y67" s="59" t="e">
        <f t="shared" si="60"/>
        <v>#DIV/0!</v>
      </c>
      <c r="Z67" s="59" t="e">
        <f t="shared" si="60"/>
        <v>#DIV/0!</v>
      </c>
      <c r="AA67" s="59" t="e">
        <f t="shared" si="60"/>
        <v>#DIV/0!</v>
      </c>
      <c r="AB67" s="59" t="e">
        <f t="shared" si="60"/>
        <v>#DIV/0!</v>
      </c>
      <c r="AC67" s="59" t="e">
        <f t="shared" si="60"/>
        <v>#DIV/0!</v>
      </c>
      <c r="AD67" s="59" t="e">
        <f t="shared" si="60"/>
        <v>#DIV/0!</v>
      </c>
      <c r="AE67" s="59" t="e">
        <f t="shared" si="60"/>
        <v>#DIV/0!</v>
      </c>
      <c r="AF67" s="59" t="e">
        <f t="shared" si="60"/>
        <v>#DIV/0!</v>
      </c>
      <c r="AG67" s="59" t="e">
        <f t="shared" si="60"/>
        <v>#DIV/0!</v>
      </c>
      <c r="AH67" s="59" t="e">
        <f t="shared" si="60"/>
        <v>#DIV/0!</v>
      </c>
      <c r="AI67" s="59" t="e">
        <f t="shared" si="60"/>
        <v>#DIV/0!</v>
      </c>
      <c r="AJ67" s="59" t="e">
        <f t="shared" si="60"/>
        <v>#DIV/0!</v>
      </c>
      <c r="AK67" s="59" t="e">
        <f t="shared" si="60"/>
        <v>#DIV/0!</v>
      </c>
      <c r="AL67" s="59" t="e">
        <f t="shared" si="60"/>
        <v>#DIV/0!</v>
      </c>
      <c r="AM67" s="59" t="e">
        <f t="shared" si="60"/>
        <v>#DIV/0!</v>
      </c>
      <c r="AN67" s="59" t="e">
        <f t="shared" si="60"/>
        <v>#DIV/0!</v>
      </c>
      <c r="AO67" s="59" t="e">
        <f t="shared" si="60"/>
        <v>#DIV/0!</v>
      </c>
    </row>
    <row r="68" spans="1:43" ht="9" customHeight="1" x14ac:dyDescent="0.2">
      <c r="B68" s="2"/>
      <c r="C68" s="6"/>
      <c r="D68" s="6"/>
      <c r="E68" s="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3" ht="13.5" customHeight="1" x14ac:dyDescent="0.2">
      <c r="A69" s="4" t="s">
        <v>18</v>
      </c>
      <c r="B69" s="3" t="s">
        <v>22</v>
      </c>
      <c r="C69" s="21">
        <f t="shared" ref="C69:O69" si="61">+C9-C38</f>
        <v>40914.64829743997</v>
      </c>
      <c r="D69" s="21">
        <f t="shared" si="61"/>
        <v>56137.245355779916</v>
      </c>
      <c r="E69" s="21">
        <f t="shared" si="61"/>
        <v>65479.040163830039</v>
      </c>
      <c r="F69" s="21">
        <f t="shared" si="61"/>
        <v>2490.0084881799412</v>
      </c>
      <c r="G69" s="21">
        <f t="shared" si="61"/>
        <v>-19521.969155300059</v>
      </c>
      <c r="H69" s="21">
        <f t="shared" si="61"/>
        <v>-44663.993266660022</v>
      </c>
      <c r="I69" s="21">
        <f t="shared" si="61"/>
        <v>-35997.644095390075</v>
      </c>
      <c r="J69" s="21">
        <f t="shared" si="61"/>
        <v>-82007.87452779006</v>
      </c>
      <c r="K69" s="21">
        <f t="shared" si="61"/>
        <v>-94494.761013260111</v>
      </c>
      <c r="L69" s="21">
        <f t="shared" si="61"/>
        <v>-77650.329047420062</v>
      </c>
      <c r="M69" s="21">
        <f t="shared" si="61"/>
        <v>-66556.178355419426</v>
      </c>
      <c r="N69" s="21">
        <f t="shared" si="61"/>
        <v>-90029.938225970021</v>
      </c>
      <c r="O69" s="21">
        <f t="shared" si="61"/>
        <v>-101981.34148428054</v>
      </c>
      <c r="P69" s="21">
        <f t="shared" ref="P69:U69" si="62">+P9-P38</f>
        <v>-146587.71078079002</v>
      </c>
      <c r="Q69" s="21">
        <f t="shared" si="62"/>
        <v>-164079.98033785005</v>
      </c>
      <c r="R69" s="21">
        <f t="shared" si="62"/>
        <v>-69919.488698589557</v>
      </c>
      <c r="S69" s="21">
        <f t="shared" si="62"/>
        <v>137260.15754278982</v>
      </c>
      <c r="T69" s="21">
        <f t="shared" si="62"/>
        <v>9540.4041897797724</v>
      </c>
      <c r="U69" s="21">
        <f t="shared" si="62"/>
        <v>19969.265758209862</v>
      </c>
      <c r="V69" s="21">
        <f t="shared" ref="V69" si="63">+V9-V38</f>
        <v>103050.4080633492</v>
      </c>
      <c r="W69" s="42">
        <f t="shared" si="5"/>
        <v>0.37205738511242248</v>
      </c>
      <c r="X69" s="42">
        <f t="shared" ref="X69:AO69" si="64">+E69/D69-1</f>
        <v>0.16640992533290166</v>
      </c>
      <c r="Y69" s="42">
        <f t="shared" si="64"/>
        <v>-0.96197243450805203</v>
      </c>
      <c r="Z69" s="42">
        <f t="shared" si="64"/>
        <v>-8.8401215288906663</v>
      </c>
      <c r="AA69" s="42">
        <f t="shared" si="64"/>
        <v>1.2878836100677939</v>
      </c>
      <c r="AB69" s="42">
        <f t="shared" si="64"/>
        <v>-0.1940343560310146</v>
      </c>
      <c r="AC69" s="42">
        <f t="shared" si="64"/>
        <v>1.278145600597572</v>
      </c>
      <c r="AD69" s="42">
        <f t="shared" si="64"/>
        <v>0.1522644813973153</v>
      </c>
      <c r="AE69" s="42">
        <f t="shared" si="64"/>
        <v>-0.1782578397491934</v>
      </c>
      <c r="AF69" s="42">
        <f t="shared" si="64"/>
        <v>-0.14287319613578942</v>
      </c>
      <c r="AG69" s="42">
        <f t="shared" si="64"/>
        <v>0.35269092142276248</v>
      </c>
      <c r="AH69" s="42">
        <f t="shared" si="64"/>
        <v>0.13274921091596403</v>
      </c>
      <c r="AI69" s="42">
        <f t="shared" si="64"/>
        <v>0.43739735766650156</v>
      </c>
      <c r="AJ69" s="42">
        <f t="shared" si="64"/>
        <v>0.11932971368396839</v>
      </c>
      <c r="AK69" s="42">
        <f t="shared" si="64"/>
        <v>-0.57386947173798208</v>
      </c>
      <c r="AL69" s="42">
        <f t="shared" si="64"/>
        <v>-2.9631172953007976</v>
      </c>
      <c r="AM69" s="42">
        <f t="shared" si="64"/>
        <v>-0.93049400233417612</v>
      </c>
      <c r="AN69" s="42">
        <f t="shared" si="64"/>
        <v>1.0931257587180725</v>
      </c>
      <c r="AO69" s="42">
        <f t="shared" si="64"/>
        <v>4.1604505298840353</v>
      </c>
    </row>
    <row r="70" spans="1:43" ht="18" x14ac:dyDescent="0.2">
      <c r="A70" s="5"/>
      <c r="B70" s="61" t="s">
        <v>55</v>
      </c>
      <c r="C70" s="62">
        <f t="shared" ref="C70:O70" si="65">+C69/C77</f>
        <v>3.5230793862082478E-3</v>
      </c>
      <c r="D70" s="62">
        <f t="shared" si="65"/>
        <v>4.041833936407566E-3</v>
      </c>
      <c r="E70" s="62">
        <f t="shared" si="65"/>
        <v>4.0396781027630356E-3</v>
      </c>
      <c r="F70" s="62">
        <f t="shared" si="65"/>
        <v>1.4126787829991583E-4</v>
      </c>
      <c r="G70" s="62">
        <f t="shared" si="65"/>
        <v>-9.8585792875497498E-4</v>
      </c>
      <c r="H70" s="62">
        <f t="shared" si="65"/>
        <v>-2.0655278957927153E-3</v>
      </c>
      <c r="I70" s="62">
        <f t="shared" si="65"/>
        <v>-1.5155072299515887E-3</v>
      </c>
      <c r="J70" s="62">
        <f t="shared" si="65"/>
        <v>-3.2206739483323769E-3</v>
      </c>
      <c r="K70" s="62">
        <f t="shared" si="65"/>
        <v>-3.3746528865745674E-3</v>
      </c>
      <c r="L70" s="62">
        <f t="shared" si="65"/>
        <v>-2.5541272379098973E-3</v>
      </c>
      <c r="M70" s="62">
        <f t="shared" si="65"/>
        <v>-2.0762284747433556E-3</v>
      </c>
      <c r="N70" s="62">
        <f t="shared" si="65"/>
        <v>-2.6214436956927775E-3</v>
      </c>
      <c r="O70" s="62">
        <f t="shared" si="65"/>
        <v>-2.8316573102729948E-3</v>
      </c>
      <c r="P70" s="62">
        <f t="shared" ref="P70:U70" si="66">+P69/P77</f>
        <v>-3.8746862537742972E-3</v>
      </c>
      <c r="Q70" s="62">
        <f t="shared" si="66"/>
        <v>-4.4959274939058444E-3</v>
      </c>
      <c r="R70" s="62">
        <f t="shared" si="66"/>
        <v>-1.733829377939342E-3</v>
      </c>
      <c r="S70" s="62">
        <f t="shared" si="66"/>
        <v>3.0631569696537948E-3</v>
      </c>
      <c r="T70" s="62">
        <f t="shared" si="66"/>
        <v>2.0273165613852762E-4</v>
      </c>
      <c r="U70" s="62">
        <f t="shared" si="66"/>
        <v>4.0657407581026571E-4</v>
      </c>
      <c r="V70" s="62">
        <f t="shared" ref="V70" si="67">+V69/V77</f>
        <v>1.9938489908045928E-3</v>
      </c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</row>
    <row r="71" spans="1:43" x14ac:dyDescent="0.2">
      <c r="A71" s="4" t="s">
        <v>19</v>
      </c>
      <c r="B71" s="3" t="s">
        <v>21</v>
      </c>
      <c r="C71" s="21">
        <f t="shared" ref="C71:O71" si="68">+C9-C36</f>
        <v>-17722.85170256003</v>
      </c>
      <c r="D71" s="21">
        <f t="shared" si="68"/>
        <v>12618.745355779916</v>
      </c>
      <c r="E71" s="21">
        <f t="shared" si="68"/>
        <v>30013.940163830033</v>
      </c>
      <c r="F71" s="21">
        <f t="shared" si="68"/>
        <v>-36889.591511820065</v>
      </c>
      <c r="G71" s="21">
        <f t="shared" si="68"/>
        <v>-56743.569155300065</v>
      </c>
      <c r="H71" s="21">
        <f t="shared" si="68"/>
        <v>-89175.086783590028</v>
      </c>
      <c r="I71" s="21">
        <f t="shared" si="68"/>
        <v>-83100.806216800091</v>
      </c>
      <c r="J71" s="21">
        <f t="shared" si="68"/>
        <v>-160563.94730995008</v>
      </c>
      <c r="K71" s="21">
        <f t="shared" si="68"/>
        <v>-155427.08165594999</v>
      </c>
      <c r="L71" s="21">
        <f t="shared" si="68"/>
        <v>-127613.00966084009</v>
      </c>
      <c r="M71" s="21">
        <f t="shared" si="68"/>
        <v>-114424.10229421948</v>
      </c>
      <c r="N71" s="21">
        <f t="shared" si="68"/>
        <v>-150881.17875133001</v>
      </c>
      <c r="O71" s="21">
        <f t="shared" si="68"/>
        <v>-160341.39224220061</v>
      </c>
      <c r="P71" s="21">
        <f t="shared" ref="P71:U71" si="69">+P9-P36</f>
        <v>-260662.71416770993</v>
      </c>
      <c r="Q71" s="21">
        <f t="shared" si="69"/>
        <v>-265098.2341838401</v>
      </c>
      <c r="R71" s="21">
        <f t="shared" si="69"/>
        <v>-224339.3568610996</v>
      </c>
      <c r="S71" s="21">
        <f t="shared" si="69"/>
        <v>-55576.588617610279</v>
      </c>
      <c r="T71" s="21">
        <f t="shared" si="69"/>
        <v>-192797.61345354025</v>
      </c>
      <c r="U71" s="21">
        <f t="shared" si="69"/>
        <v>-189067.56454963994</v>
      </c>
      <c r="V71" s="21">
        <f t="shared" ref="V71" si="70">+V9-V36</f>
        <v>-49590.879968640977</v>
      </c>
      <c r="W71" s="42">
        <f t="shared" si="5"/>
        <v>-1.7120042286398618</v>
      </c>
      <c r="X71" s="42">
        <f t="shared" ref="X71:AO71" si="71">+E71/D71-1</f>
        <v>1.3785201553403552</v>
      </c>
      <c r="Y71" s="42">
        <f t="shared" si="71"/>
        <v>-2.2290819302783818</v>
      </c>
      <c r="Z71" s="42">
        <f t="shared" si="71"/>
        <v>0.53819998622425635</v>
      </c>
      <c r="AA71" s="42">
        <f t="shared" si="71"/>
        <v>0.57154525369260689</v>
      </c>
      <c r="AB71" s="42">
        <f t="shared" si="71"/>
        <v>-6.8116340402684328E-2</v>
      </c>
      <c r="AC71" s="42">
        <f t="shared" si="71"/>
        <v>0.93215871926751093</v>
      </c>
      <c r="AD71" s="42">
        <f t="shared" si="71"/>
        <v>-3.1992646793143176E-2</v>
      </c>
      <c r="AE71" s="42">
        <f t="shared" si="71"/>
        <v>-0.17895254609926037</v>
      </c>
      <c r="AF71" s="42">
        <f t="shared" si="71"/>
        <v>-0.10335080570290645</v>
      </c>
      <c r="AG71" s="42">
        <f t="shared" si="71"/>
        <v>0.31861361134709365</v>
      </c>
      <c r="AH71" s="42">
        <f t="shared" si="71"/>
        <v>6.2699758638962821E-2</v>
      </c>
      <c r="AI71" s="42">
        <f t="shared" si="71"/>
        <v>0.62567326204808582</v>
      </c>
      <c r="AJ71" s="42">
        <f t="shared" si="71"/>
        <v>1.7016319462078489E-2</v>
      </c>
      <c r="AK71" s="42">
        <f t="shared" si="71"/>
        <v>-0.15375008984207372</v>
      </c>
      <c r="AL71" s="42">
        <f t="shared" si="71"/>
        <v>-0.75226554361560072</v>
      </c>
      <c r="AM71" s="42">
        <f t="shared" si="71"/>
        <v>2.4690436791661843</v>
      </c>
      <c r="AN71" s="42">
        <f t="shared" si="71"/>
        <v>-1.9346966163557688E-2</v>
      </c>
      <c r="AO71" s="42">
        <f t="shared" si="71"/>
        <v>-0.73770815693973346</v>
      </c>
    </row>
    <row r="72" spans="1:43" ht="18.75" customHeight="1" x14ac:dyDescent="0.2">
      <c r="B72" s="61" t="s">
        <v>55</v>
      </c>
      <c r="C72" s="62">
        <f>+C71/C77</f>
        <v>-1.5260796828607177E-3</v>
      </c>
      <c r="D72" s="62">
        <f>+D71/D77</f>
        <v>9.0853893686155629E-4</v>
      </c>
      <c r="E72" s="62">
        <f>+E71/E77</f>
        <v>1.8516865328829242E-3</v>
      </c>
      <c r="F72" s="62">
        <f t="shared" ref="F72:O72" si="72">+F71/F77</f>
        <v>-2.0928901844967556E-3</v>
      </c>
      <c r="G72" s="62">
        <f t="shared" si="72"/>
        <v>-2.8655458428701206E-3</v>
      </c>
      <c r="H72" s="62">
        <f t="shared" si="72"/>
        <v>-4.1239848004977885E-3</v>
      </c>
      <c r="I72" s="62">
        <f t="shared" si="72"/>
        <v>-3.4985587474179892E-3</v>
      </c>
      <c r="J72" s="62">
        <f t="shared" si="72"/>
        <v>-6.3057861835857047E-3</v>
      </c>
      <c r="K72" s="62">
        <f t="shared" si="72"/>
        <v>-5.5507040193319259E-3</v>
      </c>
      <c r="L72" s="62">
        <f t="shared" si="72"/>
        <v>-4.1975335827278111E-3</v>
      </c>
      <c r="M72" s="62">
        <f t="shared" si="72"/>
        <v>-3.569474468794534E-3</v>
      </c>
      <c r="N72" s="62">
        <f t="shared" si="72"/>
        <v>-4.3932776433059416E-3</v>
      </c>
      <c r="O72" s="62">
        <f t="shared" si="72"/>
        <v>-4.4521073058443909E-3</v>
      </c>
      <c r="P72" s="62">
        <f t="shared" ref="P72:U72" si="73">+P71/P77</f>
        <v>-6.8899789080373629E-3</v>
      </c>
      <c r="Q72" s="62">
        <f t="shared" si="73"/>
        <v>-7.2639113997874944E-3</v>
      </c>
      <c r="R72" s="62">
        <f t="shared" si="73"/>
        <v>-5.5630579512753039E-3</v>
      </c>
      <c r="S72" s="62">
        <f t="shared" si="73"/>
        <v>-1.2402711596811603E-3</v>
      </c>
      <c r="T72" s="62">
        <f t="shared" si="73"/>
        <v>-4.0969102249214179E-3</v>
      </c>
      <c r="U72" s="62">
        <f t="shared" si="73"/>
        <v>-3.8494139570887558E-3</v>
      </c>
      <c r="V72" s="62">
        <f t="shared" ref="V72" si="74">+V71/V77</f>
        <v>-9.5949863602483776E-4</v>
      </c>
      <c r="W72" s="55"/>
      <c r="X72" s="55"/>
      <c r="Y72" s="55"/>
      <c r="Z72" s="55"/>
      <c r="AA72" s="55"/>
      <c r="AB72" s="55"/>
      <c r="AC72" s="55"/>
      <c r="AD72" s="30"/>
      <c r="AE72" s="30"/>
      <c r="AF72" s="30"/>
      <c r="AG72" s="30"/>
      <c r="AJ72" s="6"/>
      <c r="AK72" s="6"/>
      <c r="AL72" s="6"/>
      <c r="AM72" s="6"/>
    </row>
    <row r="73" spans="1:43" ht="18.75" customHeight="1" x14ac:dyDescent="0.2">
      <c r="B73" s="61"/>
      <c r="C73" s="61"/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55"/>
      <c r="X73" s="55"/>
      <c r="Y73" s="55"/>
      <c r="Z73" s="55"/>
      <c r="AA73" s="55"/>
      <c r="AB73" s="55"/>
      <c r="AC73" s="55"/>
      <c r="AD73" s="30"/>
      <c r="AE73" s="30"/>
      <c r="AF73" s="30"/>
      <c r="AG73" s="30"/>
      <c r="AJ73" s="6"/>
      <c r="AK73" s="6"/>
      <c r="AL73" s="6"/>
      <c r="AM73" s="6"/>
    </row>
    <row r="74" spans="1:43" x14ac:dyDescent="0.2">
      <c r="B74" s="34" t="s">
        <v>40</v>
      </c>
      <c r="C74" s="34"/>
      <c r="D74" s="34"/>
      <c r="E74" s="26"/>
      <c r="F74" s="57">
        <f t="shared" ref="F74:O74" si="75">F75+F76</f>
        <v>34038.058774804427</v>
      </c>
      <c r="G74" s="57">
        <f t="shared" si="75"/>
        <v>72534.02531632506</v>
      </c>
      <c r="H74" s="57">
        <f t="shared" si="75"/>
        <v>66124.124913527688</v>
      </c>
      <c r="I74" s="57">
        <f t="shared" si="75"/>
        <v>83100.806216799887</v>
      </c>
      <c r="J74" s="57">
        <f t="shared" si="75"/>
        <v>160563.9956633969</v>
      </c>
      <c r="K74" s="57">
        <f t="shared" si="75"/>
        <v>155427.08150262889</v>
      </c>
      <c r="L74" s="57">
        <f t="shared" si="75"/>
        <v>127612.953009255</v>
      </c>
      <c r="M74" s="57">
        <f t="shared" si="75"/>
        <v>114424.06440509771</v>
      </c>
      <c r="N74" s="57">
        <f t="shared" si="75"/>
        <v>150881.18450760408</v>
      </c>
      <c r="O74" s="57">
        <f t="shared" si="75"/>
        <v>160341.41608558942</v>
      </c>
      <c r="P74" s="57">
        <f t="shared" ref="P74:V74" si="76">P75+P76</f>
        <v>260662.71374846841</v>
      </c>
      <c r="Q74" s="57">
        <f t="shared" si="76"/>
        <v>265098.228123434</v>
      </c>
      <c r="R74" s="57">
        <f t="shared" si="76"/>
        <v>224339.42222531608</v>
      </c>
      <c r="S74" s="57">
        <f t="shared" si="76"/>
        <v>55576.543236155412</v>
      </c>
      <c r="T74" s="57">
        <f t="shared" si="76"/>
        <v>192797.64637827565</v>
      </c>
      <c r="U74" s="57">
        <f t="shared" si="76"/>
        <v>189067.58503772182</v>
      </c>
      <c r="V74" s="57">
        <f t="shared" si="76"/>
        <v>49590.926471023697</v>
      </c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Q74" s="6"/>
    </row>
    <row r="75" spans="1:43" x14ac:dyDescent="0.2">
      <c r="B75" s="36" t="s">
        <v>42</v>
      </c>
      <c r="C75" s="36"/>
      <c r="D75" s="36"/>
      <c r="F75" s="56">
        <v>31608.246831496916</v>
      </c>
      <c r="G75" s="56">
        <v>78832.629649972965</v>
      </c>
      <c r="H75" s="56">
        <v>71463.273043597685</v>
      </c>
      <c r="I75" s="56">
        <v>88680.042760105585</v>
      </c>
      <c r="J75" s="56">
        <f>164434.695431028+0.5</f>
        <v>164435.195431028</v>
      </c>
      <c r="K75" s="56">
        <f>152554.824209847+3369.5</f>
        <v>155924.32420984699</v>
      </c>
      <c r="L75" s="56">
        <f>120026.652537685+3206.2</f>
        <v>123232.852537685</v>
      </c>
      <c r="M75" s="56">
        <v>117269.58848517701</v>
      </c>
      <c r="N75" s="56">
        <v>134613.30195086898</v>
      </c>
      <c r="O75" s="56">
        <v>155663.648371032</v>
      </c>
      <c r="P75" s="56">
        <f>195895.491200007+30180.93</f>
        <v>226076.421200007</v>
      </c>
      <c r="Q75" s="56">
        <v>322378.001239634</v>
      </c>
      <c r="R75" s="56">
        <v>39206.582830872096</v>
      </c>
      <c r="S75" s="56">
        <v>-145760.48922945198</v>
      </c>
      <c r="T75" s="56">
        <v>36802.800000000003</v>
      </c>
      <c r="U75" s="56">
        <v>189654.237324902</v>
      </c>
      <c r="V75" s="56">
        <v>50181.403253029894</v>
      </c>
      <c r="W75" s="33"/>
      <c r="X75" s="33"/>
      <c r="Y75" s="33"/>
      <c r="Z75" s="33"/>
      <c r="AA75" s="33"/>
      <c r="AB75" s="33"/>
      <c r="AC75" s="33"/>
    </row>
    <row r="76" spans="1:43" ht="13.5" thickBot="1" x14ac:dyDescent="0.25">
      <c r="B76" s="69" t="s">
        <v>43</v>
      </c>
      <c r="C76" s="69"/>
      <c r="D76" s="69"/>
      <c r="E76" s="121"/>
      <c r="F76" s="70">
        <v>2429.8119433075144</v>
      </c>
      <c r="G76" s="70">
        <v>-6298.6043336478997</v>
      </c>
      <c r="H76" s="70">
        <v>-5339.1481300699998</v>
      </c>
      <c r="I76" s="70">
        <v>-5579.2365433056984</v>
      </c>
      <c r="J76" s="70">
        <v>-3871.1997676310943</v>
      </c>
      <c r="K76" s="70">
        <v>-497.24270721809989</v>
      </c>
      <c r="L76" s="70">
        <v>4380.1004715700001</v>
      </c>
      <c r="M76" s="70">
        <v>-2845.5240800792999</v>
      </c>
      <c r="N76" s="70">
        <v>16267.882556735101</v>
      </c>
      <c r="O76" s="70">
        <v>4677.7677145573998</v>
      </c>
      <c r="P76" s="70">
        <v>34586.292548461402</v>
      </c>
      <c r="Q76" s="70">
        <v>-57279.773116200013</v>
      </c>
      <c r="R76" s="70">
        <v>185132.83939444399</v>
      </c>
      <c r="S76" s="70">
        <v>201337.03246560739</v>
      </c>
      <c r="T76" s="70">
        <v>155994.84637827563</v>
      </c>
      <c r="U76" s="70">
        <v>-586.65228718020012</v>
      </c>
      <c r="V76" s="70">
        <v>-590.4767820062001</v>
      </c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0"/>
      <c r="AI76" s="10"/>
      <c r="AJ76" s="10"/>
      <c r="AK76" s="10"/>
      <c r="AL76" s="10"/>
      <c r="AM76" s="10"/>
      <c r="AN76" s="10"/>
      <c r="AO76" s="10"/>
    </row>
    <row r="77" spans="1:43" ht="15" thickTop="1" x14ac:dyDescent="0.2">
      <c r="B77" s="67" t="s">
        <v>96</v>
      </c>
      <c r="C77" s="64">
        <v>11613320</v>
      </c>
      <c r="D77" s="64">
        <v>13889052.9</v>
      </c>
      <c r="E77" s="64">
        <v>16208974.699999999</v>
      </c>
      <c r="F77" s="64">
        <v>17626147.699999999</v>
      </c>
      <c r="G77" s="63">
        <v>19802010.600000001</v>
      </c>
      <c r="H77" s="63">
        <v>21623524.600000001</v>
      </c>
      <c r="I77" s="63">
        <v>23752868.600000001</v>
      </c>
      <c r="J77" s="63">
        <v>25462954.600000001</v>
      </c>
      <c r="K77" s="63">
        <v>28001327.600000001</v>
      </c>
      <c r="L77" s="63">
        <v>30401903.199999999</v>
      </c>
      <c r="M77" s="63">
        <v>32056288.199999999</v>
      </c>
      <c r="N77" s="63">
        <v>34343647.5</v>
      </c>
      <c r="O77" s="63">
        <v>36014718.700000003</v>
      </c>
      <c r="P77" s="63">
        <v>37832149.799999997</v>
      </c>
      <c r="Q77" s="63">
        <v>36495246.100000001</v>
      </c>
      <c r="R77" s="63">
        <v>40326625.899999999</v>
      </c>
      <c r="S77" s="63">
        <v>44810030.600000001</v>
      </c>
      <c r="T77" s="63">
        <v>47059272.200000003</v>
      </c>
      <c r="U77" s="63">
        <v>49115934.700000003</v>
      </c>
      <c r="V77" s="63">
        <v>51684158.899999999</v>
      </c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1:43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1:43" x14ac:dyDescent="0.2">
      <c r="AG79" s="8"/>
    </row>
    <row r="80" spans="1:43" ht="12.75" customHeight="1" x14ac:dyDescent="0.2">
      <c r="B80" s="215" t="s">
        <v>156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AG80" s="8"/>
    </row>
    <row r="81" spans="2:33" x14ac:dyDescent="0.2">
      <c r="B81" s="216" t="s">
        <v>97</v>
      </c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126"/>
      <c r="S81" s="126"/>
      <c r="T81" s="126"/>
      <c r="U81" s="126"/>
      <c r="V81" s="126"/>
      <c r="AG81" s="8"/>
    </row>
    <row r="82" spans="2:33" x14ac:dyDescent="0.2">
      <c r="B82" s="216" t="s">
        <v>98</v>
      </c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126"/>
      <c r="S82" s="126"/>
      <c r="T82" s="126"/>
      <c r="U82" s="165"/>
      <c r="V82" s="165"/>
      <c r="AG82" s="8"/>
    </row>
    <row r="83" spans="2:33" x14ac:dyDescent="0.2">
      <c r="V83" s="6"/>
      <c r="AG83" s="8"/>
    </row>
    <row r="84" spans="2:33" ht="26.25" customHeight="1" x14ac:dyDescent="0.2">
      <c r="B84" s="216" t="s">
        <v>46</v>
      </c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126"/>
      <c r="S84" s="126"/>
      <c r="T84" s="126"/>
      <c r="U84" s="126"/>
      <c r="V84" s="126"/>
      <c r="AG84" s="8"/>
    </row>
    <row r="85" spans="2:33" x14ac:dyDescent="0.2">
      <c r="Q85" s="6"/>
      <c r="R85" s="6"/>
      <c r="S85" s="6"/>
      <c r="T85" s="6"/>
      <c r="U85" s="6"/>
      <c r="V85" s="6"/>
    </row>
    <row r="86" spans="2:33" x14ac:dyDescent="0.2">
      <c r="S86" s="6"/>
      <c r="T86" s="6"/>
      <c r="U86" s="6"/>
      <c r="V86" s="6"/>
    </row>
    <row r="88" spans="2:33" x14ac:dyDescent="0.2">
      <c r="R88" s="6"/>
      <c r="S88" s="6"/>
      <c r="T88" s="6"/>
      <c r="U88" s="6"/>
      <c r="V88" s="6"/>
    </row>
  </sheetData>
  <customSheetViews>
    <customSheetView guid="{436A6C56-38E6-4AE7-BBD0-1E90C9C72A7E}" hiddenColumns="1" topLeftCell="A52">
      <selection activeCell="L85" sqref="L85"/>
      <pageMargins left="3.937007874015748E-2" right="0" top="0.47244094488188981" bottom="0.19685039370078741" header="0" footer="0"/>
      <printOptions horizontalCentered="1" verticalCentered="1"/>
      <pageSetup scale="70" orientation="portrait" r:id="rId1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8">
    <mergeCell ref="B84:Q84"/>
    <mergeCell ref="A2:AN2"/>
    <mergeCell ref="A3:AN3"/>
    <mergeCell ref="A4:AN4"/>
    <mergeCell ref="C6:V6"/>
    <mergeCell ref="W6:AO6"/>
    <mergeCell ref="B81:Q81"/>
    <mergeCell ref="B82:Q82"/>
  </mergeCells>
  <phoneticPr fontId="0" type="noConversion"/>
  <printOptions horizontalCentered="1" verticalCentered="1"/>
  <pageMargins left="3.937007874015748E-2" right="0" top="0.47244094488188981" bottom="0.19685039370078741" header="0" footer="0"/>
  <pageSetup scale="6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3E671-7767-48EE-AE40-215B808B8639}">
  <dimension ref="A1:AO87"/>
  <sheetViews>
    <sheetView tabSelected="1" zoomScaleNormal="100" workbookViewId="0">
      <pane xSplit="2" ySplit="7" topLeftCell="U52" activePane="bottomRight" state="frozen"/>
      <selection pane="topRight" activeCell="C1" sqref="C1"/>
      <selection pane="bottomLeft" activeCell="A8" sqref="A8"/>
      <selection pane="bottomRight" activeCell="AO36" sqref="AO36"/>
    </sheetView>
  </sheetViews>
  <sheetFormatPr baseColWidth="10" defaultColWidth="11.42578125" defaultRowHeight="12.75" x14ac:dyDescent="0.2"/>
  <cols>
    <col min="1" max="1" width="4.7109375" style="1" bestFit="1" customWidth="1"/>
    <col min="2" max="2" width="38.5703125" style="1" customWidth="1"/>
    <col min="3" max="3" width="10" style="1" hidden="1" customWidth="1"/>
    <col min="4" max="14" width="10.7109375" style="1" hidden="1" customWidth="1"/>
    <col min="15" max="15" width="11.28515625" style="1" hidden="1" customWidth="1"/>
    <col min="16" max="17" width="11.28515625" style="1" bestFit="1" customWidth="1"/>
    <col min="18" max="19" width="10.7109375" style="1" bestFit="1" customWidth="1"/>
    <col min="20" max="22" width="11.28515625" style="1" customWidth="1"/>
    <col min="23" max="23" width="6.7109375" style="8" hidden="1" customWidth="1"/>
    <col min="24" max="24" width="6.28515625" style="8" hidden="1" customWidth="1"/>
    <col min="25" max="26" width="6.85546875" style="8" hidden="1" customWidth="1"/>
    <col min="27" max="27" width="6.140625" style="8" hidden="1" customWidth="1"/>
    <col min="28" max="28" width="6.28515625" style="8" hidden="1" customWidth="1"/>
    <col min="29" max="29" width="7.140625" style="8" hidden="1" customWidth="1"/>
    <col min="30" max="30" width="6.28515625" style="8" hidden="1" customWidth="1"/>
    <col min="31" max="31" width="6.140625" style="8" hidden="1" customWidth="1"/>
    <col min="32" max="32" width="6.28515625" style="8" hidden="1" customWidth="1"/>
    <col min="33" max="33" width="6.85546875" style="1" hidden="1" customWidth="1"/>
    <col min="34" max="34" width="6.140625" style="1" hidden="1" customWidth="1"/>
    <col min="35" max="35" width="7.140625" style="1" bestFit="1" customWidth="1"/>
    <col min="36" max="38" width="6.85546875" style="1" bestFit="1" customWidth="1"/>
    <col min="39" max="39" width="8.85546875" style="1" bestFit="1" customWidth="1"/>
    <col min="40" max="40" width="6.85546875" style="1" bestFit="1" customWidth="1"/>
    <col min="41" max="41" width="6.140625" style="1" bestFit="1" customWidth="1"/>
    <col min="42" max="16384" width="11.42578125" style="1"/>
  </cols>
  <sheetData>
    <row r="1" spans="1:41" ht="15.75" customHeight="1" x14ac:dyDescent="0.2"/>
    <row r="2" spans="1:41" x14ac:dyDescent="0.2">
      <c r="A2" s="222" t="s">
        <v>44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</row>
    <row r="3" spans="1:41" x14ac:dyDescent="0.2">
      <c r="A3" s="222" t="s">
        <v>94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</row>
    <row r="4" spans="1:41" x14ac:dyDescent="0.2">
      <c r="A4" s="223" t="s">
        <v>45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</row>
    <row r="5" spans="1:41" ht="13.5" thickBo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  <c r="AH5" s="10"/>
      <c r="AI5" s="10"/>
      <c r="AJ5" s="10"/>
      <c r="AK5" s="10"/>
      <c r="AL5" s="10"/>
      <c r="AM5" s="10"/>
      <c r="AN5" s="10"/>
      <c r="AO5" s="10"/>
    </row>
    <row r="6" spans="1:41" ht="13.5" thickTop="1" x14ac:dyDescent="0.2">
      <c r="C6" s="221" t="s">
        <v>50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163"/>
      <c r="V6" s="163"/>
      <c r="W6" s="219" t="s">
        <v>20</v>
      </c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</row>
    <row r="7" spans="1:41" x14ac:dyDescent="0.2">
      <c r="B7" s="13" t="s">
        <v>0</v>
      </c>
      <c r="C7" s="60">
        <v>2006</v>
      </c>
      <c r="D7" s="60">
        <v>2007</v>
      </c>
      <c r="E7" s="60">
        <v>2008</v>
      </c>
      <c r="F7" s="60">
        <v>2009</v>
      </c>
      <c r="G7" s="60">
        <v>2010</v>
      </c>
      <c r="H7" s="60">
        <v>2011</v>
      </c>
      <c r="I7" s="60">
        <v>2012</v>
      </c>
      <c r="J7" s="60">
        <v>2013</v>
      </c>
      <c r="K7" s="60">
        <v>2014</v>
      </c>
      <c r="L7" s="60">
        <v>2015</v>
      </c>
      <c r="M7" s="60">
        <v>2016</v>
      </c>
      <c r="N7" s="60">
        <v>2017</v>
      </c>
      <c r="O7" s="60">
        <v>2018</v>
      </c>
      <c r="P7" s="60">
        <v>2019</v>
      </c>
      <c r="Q7" s="60">
        <v>2020</v>
      </c>
      <c r="R7" s="60">
        <v>2021</v>
      </c>
      <c r="S7" s="60">
        <v>2022</v>
      </c>
      <c r="T7" s="60">
        <v>2023</v>
      </c>
      <c r="U7" s="60">
        <v>2024</v>
      </c>
      <c r="V7" s="60">
        <v>2025</v>
      </c>
      <c r="W7" s="14" t="s">
        <v>68</v>
      </c>
      <c r="X7" s="14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  <c r="AE7" s="14" t="s">
        <v>76</v>
      </c>
      <c r="AF7" s="14" t="s">
        <v>77</v>
      </c>
      <c r="AG7" s="14" t="s">
        <v>78</v>
      </c>
      <c r="AH7" s="14" t="s">
        <v>79</v>
      </c>
      <c r="AI7" s="14" t="s">
        <v>80</v>
      </c>
      <c r="AJ7" s="14" t="s">
        <v>81</v>
      </c>
      <c r="AK7" s="14" t="s">
        <v>82</v>
      </c>
      <c r="AL7" s="14" t="s">
        <v>84</v>
      </c>
      <c r="AM7" s="14" t="s">
        <v>87</v>
      </c>
      <c r="AN7" s="14" t="s">
        <v>91</v>
      </c>
      <c r="AO7" s="14" t="s">
        <v>95</v>
      </c>
    </row>
    <row r="8" spans="1:41" x14ac:dyDescent="0.2">
      <c r="C8" s="8"/>
      <c r="D8" s="8"/>
      <c r="G8" s="6" t="s">
        <v>47</v>
      </c>
      <c r="I8" s="7"/>
    </row>
    <row r="9" spans="1:41" x14ac:dyDescent="0.2">
      <c r="A9" s="1">
        <v>1</v>
      </c>
      <c r="B9" s="3" t="s">
        <v>10</v>
      </c>
      <c r="C9" s="21">
        <f>+C11+C34</f>
        <v>879491.48782220006</v>
      </c>
      <c r="D9" s="21">
        <f t="shared" ref="D9:I9" si="0">+D11+D34</f>
        <v>1148744.4372497799</v>
      </c>
      <c r="E9" s="21">
        <f t="shared" si="0"/>
        <v>1445972.01142861</v>
      </c>
      <c r="F9" s="21">
        <f t="shared" si="0"/>
        <v>1327391.1944182101</v>
      </c>
      <c r="G9" s="21">
        <f t="shared" si="0"/>
        <v>1483701.2438789399</v>
      </c>
      <c r="H9" s="21">
        <f t="shared" si="0"/>
        <v>1605925.6256788396</v>
      </c>
      <c r="I9" s="21">
        <f t="shared" si="0"/>
        <v>1783375.1172595597</v>
      </c>
      <c r="J9" s="21">
        <f t="shared" ref="J9:R9" si="1">+J11+J34</f>
        <v>1941015.71936953</v>
      </c>
      <c r="K9" s="21">
        <f t="shared" si="1"/>
        <v>2086118.5964906993</v>
      </c>
      <c r="L9" s="21">
        <f t="shared" si="1"/>
        <v>2258824.8083760696</v>
      </c>
      <c r="M9" s="21">
        <f t="shared" si="1"/>
        <v>2496642.6691981601</v>
      </c>
      <c r="N9" s="21">
        <f t="shared" si="1"/>
        <v>2635259.6253278502</v>
      </c>
      <c r="O9" s="21">
        <f t="shared" si="1"/>
        <v>2698093.5787405497</v>
      </c>
      <c r="P9" s="21">
        <f t="shared" si="1"/>
        <v>2897395.8230735795</v>
      </c>
      <c r="Q9" s="21">
        <f t="shared" si="1"/>
        <v>2632601.5028535603</v>
      </c>
      <c r="R9" s="21">
        <f t="shared" si="1"/>
        <v>3593685.7569210194</v>
      </c>
      <c r="S9" s="21">
        <f>+S11+S34</f>
        <v>4125241.1511643892</v>
      </c>
      <c r="T9" s="21">
        <f>+T11+T34</f>
        <v>4211169.4395762607</v>
      </c>
      <c r="U9" s="21">
        <f>+U11+U34</f>
        <v>4291724.2272927007</v>
      </c>
      <c r="V9" s="21">
        <f>+V11+V34</f>
        <v>4383112.7885794491</v>
      </c>
      <c r="W9" s="42">
        <f t="shared" ref="W9:AO9" si="2">+D9/C9-1</f>
        <v>0.30614616873018852</v>
      </c>
      <c r="X9" s="42">
        <f t="shared" si="2"/>
        <v>0.25874125222353661</v>
      </c>
      <c r="Y9" s="42">
        <f t="shared" si="2"/>
        <v>-8.2007684846709394E-2</v>
      </c>
      <c r="Z9" s="42">
        <f t="shared" si="2"/>
        <v>0.11775733492735707</v>
      </c>
      <c r="AA9" s="42">
        <f t="shared" si="2"/>
        <v>8.2378027452723712E-2</v>
      </c>
      <c r="AB9" s="42">
        <f t="shared" si="2"/>
        <v>0.1104967059142048</v>
      </c>
      <c r="AC9" s="42">
        <f t="shared" si="2"/>
        <v>8.8394528209079226E-2</v>
      </c>
      <c r="AD9" s="42">
        <f t="shared" si="2"/>
        <v>7.4756157651469701E-2</v>
      </c>
      <c r="AE9" s="42">
        <f t="shared" si="2"/>
        <v>8.2788299848292057E-2</v>
      </c>
      <c r="AF9" s="42">
        <f t="shared" si="2"/>
        <v>0.10528388918884946</v>
      </c>
      <c r="AG9" s="42">
        <f t="shared" si="2"/>
        <v>5.5521343859034955E-2</v>
      </c>
      <c r="AH9" s="42">
        <f t="shared" si="2"/>
        <v>2.3843553329164768E-2</v>
      </c>
      <c r="AI9" s="42">
        <f t="shared" si="2"/>
        <v>7.3867802771341529E-2</v>
      </c>
      <c r="AJ9" s="42">
        <f t="shared" si="2"/>
        <v>-9.139045418348235E-2</v>
      </c>
      <c r="AK9" s="42">
        <f t="shared" si="2"/>
        <v>0.36507016083737298</v>
      </c>
      <c r="AL9" s="42">
        <f t="shared" si="2"/>
        <v>0.14791371037928291</v>
      </c>
      <c r="AM9" s="42">
        <f t="shared" si="2"/>
        <v>2.0829882487625628E-2</v>
      </c>
      <c r="AN9" s="42">
        <f t="shared" si="2"/>
        <v>1.912884030725337E-2</v>
      </c>
      <c r="AO9" s="42">
        <f t="shared" si="2"/>
        <v>2.1294136446506462E-2</v>
      </c>
    </row>
    <row r="10" spans="1:41" x14ac:dyDescent="0.2">
      <c r="B10" s="3"/>
      <c r="C10" s="6"/>
      <c r="D10" s="6"/>
      <c r="E10" s="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</row>
    <row r="11" spans="1:41" x14ac:dyDescent="0.2">
      <c r="B11" s="3" t="s">
        <v>31</v>
      </c>
      <c r="C11" s="20">
        <f>+C12+C30+C31+C32</f>
        <v>879401.48782220006</v>
      </c>
      <c r="D11" s="20">
        <f t="shared" ref="D11:O11" si="3">+D12+D30+D31+D32</f>
        <v>1148590.20521178</v>
      </c>
      <c r="E11" s="20">
        <f t="shared" si="3"/>
        <v>1445660.2114286099</v>
      </c>
      <c r="F11" s="20">
        <f t="shared" si="3"/>
        <v>1327391.1944182101</v>
      </c>
      <c r="G11" s="20">
        <f t="shared" si="3"/>
        <v>1483552.2489963099</v>
      </c>
      <c r="H11" s="20">
        <f t="shared" si="3"/>
        <v>1605847.1256788396</v>
      </c>
      <c r="I11" s="20">
        <f t="shared" si="3"/>
        <v>1783292.1172595597</v>
      </c>
      <c r="J11" s="20">
        <f t="shared" si="3"/>
        <v>1941015.71936953</v>
      </c>
      <c r="K11" s="20">
        <f t="shared" si="3"/>
        <v>2085338.0964906993</v>
      </c>
      <c r="L11" s="20">
        <f t="shared" si="3"/>
        <v>2257985.5011194497</v>
      </c>
      <c r="M11" s="20">
        <f t="shared" si="3"/>
        <v>2492163.1818001699</v>
      </c>
      <c r="N11" s="20">
        <f t="shared" si="3"/>
        <v>2628924.8445900204</v>
      </c>
      <c r="O11" s="20">
        <f t="shared" si="3"/>
        <v>2696623.4105190597</v>
      </c>
      <c r="P11" s="20">
        <f t="shared" ref="P11:V11" si="4">+P12+P30+P31+P32</f>
        <v>2843020.1480735797</v>
      </c>
      <c r="Q11" s="20">
        <f t="shared" si="4"/>
        <v>2557601.5028535603</v>
      </c>
      <c r="R11" s="20">
        <f t="shared" si="4"/>
        <v>3587150.8079760196</v>
      </c>
      <c r="S11" s="20">
        <f t="shared" si="4"/>
        <v>4117631.0160743892</v>
      </c>
      <c r="T11" s="20">
        <f t="shared" si="4"/>
        <v>4203818.6949082604</v>
      </c>
      <c r="U11" s="20">
        <f t="shared" si="4"/>
        <v>4284140.7909387005</v>
      </c>
      <c r="V11" s="20">
        <f t="shared" si="4"/>
        <v>4366751.6847663093</v>
      </c>
      <c r="W11" s="29">
        <f t="shared" ref="W11:W71" si="5">+D11/C11-1</f>
        <v>0.30610445981415646</v>
      </c>
      <c r="X11" s="29">
        <f t="shared" ref="X11:X32" si="6">+E11/D11-1</f>
        <v>0.25863881205747807</v>
      </c>
      <c r="Y11" s="29">
        <f t="shared" ref="Y11:Y32" si="7">+F11/E11-1</f>
        <v>-8.1809692260621625E-2</v>
      </c>
      <c r="Z11" s="29">
        <f t="shared" ref="Z11:Z32" si="8">+G11/F11-1</f>
        <v>0.11764508852760969</v>
      </c>
      <c r="AA11" s="29">
        <f t="shared" ref="AA11:AA32" si="9">+H11/G11-1</f>
        <v>8.2433818401251191E-2</v>
      </c>
      <c r="AB11" s="29">
        <f t="shared" ref="AB11:AB32" si="10">+I11/H11-1</f>
        <v>0.1104993051600156</v>
      </c>
      <c r="AC11" s="29">
        <f t="shared" ref="AC11:AC32" si="11">+J11/I11-1</f>
        <v>8.8445185499024692E-2</v>
      </c>
      <c r="AD11" s="29">
        <f t="shared" ref="AD11:AD32" si="12">+K11/J11-1</f>
        <v>7.4354048594746702E-2</v>
      </c>
      <c r="AE11" s="29">
        <f t="shared" ref="AE11:AE32" si="13">+L11/K11-1</f>
        <v>8.2791085493181704E-2</v>
      </c>
      <c r="AF11" s="29">
        <f t="shared" ref="AF11:AF32" si="14">+M11/L11-1</f>
        <v>0.10371088767603731</v>
      </c>
      <c r="AG11" s="29">
        <f t="shared" ref="AG11:AG32" si="15">+N11/M11-1</f>
        <v>5.4876688568628706E-2</v>
      </c>
      <c r="AH11" s="29">
        <f t="shared" ref="AH11:AH32" si="16">+O11/N11-1</f>
        <v>2.5751426887822282E-2</v>
      </c>
      <c r="AI11" s="29">
        <f t="shared" ref="AI11:AI32" si="17">+P11/O11-1</f>
        <v>5.4288907002532083E-2</v>
      </c>
      <c r="AJ11" s="29">
        <f t="shared" ref="AJ11:AJ27" si="18">+Q11/P11-1</f>
        <v>-0.10039276204687397</v>
      </c>
      <c r="AK11" s="29">
        <f t="shared" ref="AK11:AK27" si="19">+R11/Q11-1</f>
        <v>0.40254484679250191</v>
      </c>
      <c r="AL11" s="29">
        <f t="shared" ref="AL11:AL27" si="20">+S11/R11-1</f>
        <v>0.14788344190014224</v>
      </c>
      <c r="AM11" s="29">
        <f t="shared" ref="AM11:AM32" si="21">+T11/S11-1</f>
        <v>2.0931374981733919E-2</v>
      </c>
      <c r="AN11" s="29">
        <f t="shared" ref="AN11:AN32" si="22">+U11/T11-1</f>
        <v>1.9106936302397459E-2</v>
      </c>
      <c r="AO11" s="29">
        <f t="shared" ref="AO11:AO32" si="23">+V11/U11-1</f>
        <v>1.9282954939841668E-2</v>
      </c>
    </row>
    <row r="12" spans="1:41" x14ac:dyDescent="0.2">
      <c r="B12" s="22" t="s">
        <v>30</v>
      </c>
      <c r="C12" s="6">
        <v>848699.43156945007</v>
      </c>
      <c r="D12" s="6">
        <f t="shared" ref="D12:O12" si="24">D13+D14+D17+D21+D24+D27</f>
        <v>1101908.17535302</v>
      </c>
      <c r="E12" s="6">
        <f t="shared" si="24"/>
        <v>1399173.78037155</v>
      </c>
      <c r="F12" s="6">
        <f t="shared" si="24"/>
        <v>1275322.6057575</v>
      </c>
      <c r="G12" s="6">
        <f t="shared" si="24"/>
        <v>1359680.57420824</v>
      </c>
      <c r="H12" s="6">
        <f t="shared" si="24"/>
        <v>1474483.1961391196</v>
      </c>
      <c r="I12" s="6">
        <f t="shared" si="24"/>
        <v>1641196.5555213997</v>
      </c>
      <c r="J12" s="6">
        <f t="shared" si="24"/>
        <v>1804111.9033071101</v>
      </c>
      <c r="K12" s="6">
        <f t="shared" si="24"/>
        <v>1934355.3246717595</v>
      </c>
      <c r="L12" s="6">
        <f t="shared" si="24"/>
        <v>2088293.6142086298</v>
      </c>
      <c r="M12" s="6">
        <f t="shared" si="24"/>
        <v>2291843.3892505802</v>
      </c>
      <c r="N12" s="6">
        <f t="shared" si="24"/>
        <v>2420997.1555610299</v>
      </c>
      <c r="O12" s="6">
        <f t="shared" si="24"/>
        <v>2478417.7421119097</v>
      </c>
      <c r="P12" s="6">
        <f>P13+P14+P17+P21+P24+P27</f>
        <v>2635488.3282432896</v>
      </c>
      <c r="Q12" s="6">
        <f>Q13+Q14+Q17+Q21+Q24+Q27</f>
        <v>2334266.9161803499</v>
      </c>
      <c r="R12" s="6">
        <f>R13+R14+R17+R21+R24+R27</f>
        <v>3107452.0446020095</v>
      </c>
      <c r="S12" s="6">
        <f>S13+S14+S17+S21+S24+S27+S28+S29</f>
        <v>3593318.4722992093</v>
      </c>
      <c r="T12" s="6">
        <f>T13+T14+T17+T21+T24+T27+T28+T29</f>
        <v>3763332.7941518202</v>
      </c>
      <c r="U12" s="6">
        <f>U13+U14+U17+U21+U24+U27+U28+U29</f>
        <v>3806660.99988518</v>
      </c>
      <c r="V12" s="6">
        <f>V13+V14+V17+V21+V24+V27+V28+V29</f>
        <v>3881394.9849153995</v>
      </c>
      <c r="W12" s="31">
        <f t="shared" si="5"/>
        <v>0.29834913794548656</v>
      </c>
      <c r="X12" s="31">
        <f t="shared" si="6"/>
        <v>0.26977348173616611</v>
      </c>
      <c r="Y12" s="31">
        <f t="shared" si="7"/>
        <v>-8.8517363855375675E-2</v>
      </c>
      <c r="Z12" s="31">
        <f t="shared" si="8"/>
        <v>6.6146375881602104E-2</v>
      </c>
      <c r="AA12" s="31">
        <f t="shared" si="9"/>
        <v>8.4433523658842269E-2</v>
      </c>
      <c r="AB12" s="31">
        <f t="shared" si="10"/>
        <v>0.11306562178450941</v>
      </c>
      <c r="AC12" s="31">
        <f t="shared" si="11"/>
        <v>9.9266201380707297E-2</v>
      </c>
      <c r="AD12" s="31">
        <f t="shared" si="12"/>
        <v>7.2192540344033329E-2</v>
      </c>
      <c r="AE12" s="31">
        <f t="shared" si="13"/>
        <v>7.9581185304200552E-2</v>
      </c>
      <c r="AF12" s="31">
        <f t="shared" si="14"/>
        <v>9.7471817974737585E-2</v>
      </c>
      <c r="AG12" s="31">
        <f t="shared" si="15"/>
        <v>5.6353661387256615E-2</v>
      </c>
      <c r="AH12" s="31">
        <f t="shared" si="16"/>
        <v>2.3717742261276431E-2</v>
      </c>
      <c r="AI12" s="31">
        <f t="shared" si="17"/>
        <v>6.3375347691603023E-2</v>
      </c>
      <c r="AJ12" s="31">
        <f t="shared" si="18"/>
        <v>-0.1142943449359618</v>
      </c>
      <c r="AK12" s="31">
        <f t="shared" si="19"/>
        <v>0.33123252660704794</v>
      </c>
      <c r="AL12" s="31">
        <f t="shared" si="20"/>
        <v>0.15635524562356617</v>
      </c>
      <c r="AM12" s="31">
        <f t="shared" si="21"/>
        <v>4.7314014375081648E-2</v>
      </c>
      <c r="AN12" s="31">
        <f t="shared" si="22"/>
        <v>1.1513253837314386E-2</v>
      </c>
      <c r="AO12" s="31">
        <f t="shared" si="23"/>
        <v>1.9632424592700426E-2</v>
      </c>
    </row>
    <row r="13" spans="1:41" x14ac:dyDescent="0.2">
      <c r="B13" s="23" t="s">
        <v>23</v>
      </c>
      <c r="C13" s="6">
        <v>199896.77702471995</v>
      </c>
      <c r="D13" s="6">
        <v>284684.40361541993</v>
      </c>
      <c r="E13" s="47">
        <v>405543.90916150995</v>
      </c>
      <c r="F13" s="6">
        <v>382950.82055774995</v>
      </c>
      <c r="G13" s="6">
        <v>384659.11894224997</v>
      </c>
      <c r="H13" s="6">
        <v>414424.26465531997</v>
      </c>
      <c r="I13" s="6">
        <v>470090.61310387996</v>
      </c>
      <c r="J13" s="6">
        <v>540788.84113885998</v>
      </c>
      <c r="K13" s="6">
        <v>572765.41993680992</v>
      </c>
      <c r="L13" s="6">
        <v>663891.22454476997</v>
      </c>
      <c r="M13" s="6">
        <v>774990.52459799999</v>
      </c>
      <c r="N13" s="6">
        <v>854890.84230707004</v>
      </c>
      <c r="O13" s="6">
        <v>877511.10871033999</v>
      </c>
      <c r="P13" s="6">
        <v>1032528.6279901699</v>
      </c>
      <c r="Q13" s="6">
        <v>929969.70908366004</v>
      </c>
      <c r="R13" s="6">
        <v>1217749.0324807698</v>
      </c>
      <c r="S13" s="6">
        <v>1442839.40077979</v>
      </c>
      <c r="T13" s="6">
        <v>1482008.9928117199</v>
      </c>
      <c r="U13" s="6">
        <v>1404321.07362147</v>
      </c>
      <c r="V13" s="6">
        <v>1439212.1637515798</v>
      </c>
      <c r="W13" s="31">
        <f t="shared" si="5"/>
        <v>0.42415704671523957</v>
      </c>
      <c r="X13" s="31">
        <f t="shared" si="6"/>
        <v>0.42453855571715504</v>
      </c>
      <c r="Y13" s="31">
        <f t="shared" si="7"/>
        <v>-5.5710585446771432E-2</v>
      </c>
      <c r="Z13" s="31">
        <f t="shared" si="8"/>
        <v>4.4608819012634804E-3</v>
      </c>
      <c r="AA13" s="31">
        <f t="shared" si="9"/>
        <v>7.7380579966281005E-2</v>
      </c>
      <c r="AB13" s="31">
        <f t="shared" si="10"/>
        <v>0.13432212637177066</v>
      </c>
      <c r="AC13" s="31">
        <f t="shared" si="11"/>
        <v>0.1503927669777938</v>
      </c>
      <c r="AD13" s="31">
        <f t="shared" si="12"/>
        <v>5.9129509275024361E-2</v>
      </c>
      <c r="AE13" s="31">
        <f t="shared" si="13"/>
        <v>0.15909795081206801</v>
      </c>
      <c r="AF13" s="31">
        <f t="shared" si="14"/>
        <v>0.16734563727576113</v>
      </c>
      <c r="AG13" s="31">
        <f t="shared" si="15"/>
        <v>0.10309844465584361</v>
      </c>
      <c r="AH13" s="31">
        <f t="shared" si="16"/>
        <v>2.64598300552914E-2</v>
      </c>
      <c r="AI13" s="31">
        <f t="shared" si="17"/>
        <v>0.17665590525418651</v>
      </c>
      <c r="AJ13" s="31">
        <f t="shared" si="18"/>
        <v>-9.9327918012445005E-2</v>
      </c>
      <c r="AK13" s="31">
        <f t="shared" si="19"/>
        <v>0.30945021175009169</v>
      </c>
      <c r="AL13" s="31">
        <f t="shared" si="20"/>
        <v>0.18484134439464217</v>
      </c>
      <c r="AM13" s="31">
        <f t="shared" si="21"/>
        <v>2.7147575822201953E-2</v>
      </c>
      <c r="AN13" s="31">
        <f t="shared" si="22"/>
        <v>-5.242068001413247E-2</v>
      </c>
      <c r="AO13" s="31">
        <f t="shared" si="23"/>
        <v>2.4845522000273457E-2</v>
      </c>
    </row>
    <row r="14" spans="1:41" x14ac:dyDescent="0.2">
      <c r="B14" s="23" t="s">
        <v>24</v>
      </c>
      <c r="C14" s="6">
        <v>53606.806315710004</v>
      </c>
      <c r="D14" s="6">
        <v>69291.829587900007</v>
      </c>
      <c r="E14" s="6">
        <v>84191.308488009992</v>
      </c>
      <c r="F14" s="6">
        <f t="shared" ref="F14:O14" si="25">+F15+F16</f>
        <v>63973.31954869</v>
      </c>
      <c r="G14" s="6">
        <f t="shared" si="25"/>
        <v>66833.182155889997</v>
      </c>
      <c r="H14" s="6">
        <f t="shared" si="25"/>
        <v>78070.952830299997</v>
      </c>
      <c r="I14" s="6">
        <f t="shared" si="25"/>
        <v>81930.445216709995</v>
      </c>
      <c r="J14" s="6">
        <f t="shared" si="25"/>
        <v>82736.70949927</v>
      </c>
      <c r="K14" s="6">
        <f t="shared" si="25"/>
        <v>93799.756936909995</v>
      </c>
      <c r="L14" s="6">
        <f t="shared" si="25"/>
        <v>93648.953816640002</v>
      </c>
      <c r="M14" s="6">
        <f t="shared" si="25"/>
        <v>100940.51628065</v>
      </c>
      <c r="N14" s="6">
        <f t="shared" si="25"/>
        <v>97991.118706990004</v>
      </c>
      <c r="O14" s="6">
        <f t="shared" si="25"/>
        <v>95583.469017599986</v>
      </c>
      <c r="P14" s="6">
        <f t="shared" ref="P14:V14" si="26">+P15+P16</f>
        <v>94205.385409799987</v>
      </c>
      <c r="Q14" s="6">
        <f t="shared" si="26"/>
        <v>64761.900940159991</v>
      </c>
      <c r="R14" s="6">
        <f t="shared" si="26"/>
        <v>96819.440006789999</v>
      </c>
      <c r="S14" s="6">
        <f t="shared" si="26"/>
        <v>83976.73751993</v>
      </c>
      <c r="T14" s="6">
        <f t="shared" si="26"/>
        <v>93604.040342470005</v>
      </c>
      <c r="U14" s="6">
        <f t="shared" si="26"/>
        <v>100649.58155252998</v>
      </c>
      <c r="V14" s="6">
        <f t="shared" si="26"/>
        <v>111457.26667902</v>
      </c>
      <c r="W14" s="31">
        <f t="shared" si="5"/>
        <v>0.29259387660244474</v>
      </c>
      <c r="X14" s="31">
        <f t="shared" si="6"/>
        <v>0.21502504680164747</v>
      </c>
      <c r="Y14" s="31">
        <f t="shared" si="7"/>
        <v>-0.24014342219421991</v>
      </c>
      <c r="Z14" s="31">
        <f t="shared" si="8"/>
        <v>4.470398952837451E-2</v>
      </c>
      <c r="AA14" s="31">
        <f t="shared" si="9"/>
        <v>0.16814657497824403</v>
      </c>
      <c r="AB14" s="31">
        <f t="shared" si="10"/>
        <v>4.9435702351414035E-2</v>
      </c>
      <c r="AC14" s="31">
        <f t="shared" si="11"/>
        <v>9.840838535997154E-3</v>
      </c>
      <c r="AD14" s="31">
        <f t="shared" si="12"/>
        <v>0.13371389199056316</v>
      </c>
      <c r="AE14" s="31">
        <f t="shared" si="13"/>
        <v>-1.6077133373748609E-3</v>
      </c>
      <c r="AF14" s="31">
        <f t="shared" si="14"/>
        <v>7.7860586443779356E-2</v>
      </c>
      <c r="AG14" s="31">
        <f t="shared" si="15"/>
        <v>-2.921916473519548E-2</v>
      </c>
      <c r="AH14" s="31">
        <f t="shared" si="16"/>
        <v>-2.4570080647709491E-2</v>
      </c>
      <c r="AI14" s="31">
        <f t="shared" si="17"/>
        <v>-1.4417593564701514E-2</v>
      </c>
      <c r="AJ14" s="31">
        <f t="shared" si="18"/>
        <v>-0.31254566118018401</v>
      </c>
      <c r="AK14" s="31">
        <f t="shared" si="19"/>
        <v>0.49500614715202973</v>
      </c>
      <c r="AL14" s="31">
        <f t="shared" si="20"/>
        <v>-0.13264590753633088</v>
      </c>
      <c r="AM14" s="31">
        <f t="shared" si="21"/>
        <v>0.11464249632530898</v>
      </c>
      <c r="AN14" s="31">
        <f t="shared" si="22"/>
        <v>7.5269627083215607E-2</v>
      </c>
      <c r="AO14" s="31">
        <f t="shared" si="23"/>
        <v>0.10737933491406904</v>
      </c>
    </row>
    <row r="15" spans="1:41" x14ac:dyDescent="0.2">
      <c r="B15" s="24" t="s">
        <v>35</v>
      </c>
      <c r="C15" s="6">
        <v>42561.591059340004</v>
      </c>
      <c r="D15" s="6">
        <v>54646.758236220005</v>
      </c>
      <c r="E15" s="6">
        <v>66098.151223359993</v>
      </c>
      <c r="F15" s="6">
        <v>52952.675255820002</v>
      </c>
      <c r="G15" s="6">
        <v>53990.950987119992</v>
      </c>
      <c r="H15" s="6">
        <v>64733.039809180002</v>
      </c>
      <c r="I15" s="6">
        <v>68341.125905950001</v>
      </c>
      <c r="J15" s="6">
        <v>69283.20115655</v>
      </c>
      <c r="K15" s="6">
        <v>78240.068834389996</v>
      </c>
      <c r="L15" s="6">
        <v>79050.635868550002</v>
      </c>
      <c r="M15" s="6">
        <v>85803.436150370006</v>
      </c>
      <c r="N15" s="6">
        <v>82887.573535939999</v>
      </c>
      <c r="O15" s="6">
        <v>80695.516099699991</v>
      </c>
      <c r="P15" s="6">
        <v>80326.490947379993</v>
      </c>
      <c r="Q15" s="6">
        <v>55242.782412019995</v>
      </c>
      <c r="R15" s="6">
        <v>80936.737902580004</v>
      </c>
      <c r="S15" s="6">
        <v>67058.410538130003</v>
      </c>
      <c r="T15" s="6">
        <v>75824.858851440003</v>
      </c>
      <c r="U15" s="6">
        <v>82040.377767349986</v>
      </c>
      <c r="V15" s="6">
        <v>91723.023683420004</v>
      </c>
      <c r="W15" s="31">
        <f t="shared" si="5"/>
        <v>0.28394538070794106</v>
      </c>
      <c r="X15" s="31">
        <f t="shared" si="6"/>
        <v>0.20955301570935592</v>
      </c>
      <c r="Y15" s="31">
        <f t="shared" si="7"/>
        <v>-0.19887811874069783</v>
      </c>
      <c r="Z15" s="31">
        <f t="shared" si="8"/>
        <v>1.9607616164508679E-2</v>
      </c>
      <c r="AA15" s="31">
        <f t="shared" si="9"/>
        <v>0.19896091151686934</v>
      </c>
      <c r="AB15" s="31">
        <f t="shared" si="10"/>
        <v>5.5737937031937745E-2</v>
      </c>
      <c r="AC15" s="31">
        <f t="shared" si="11"/>
        <v>1.3784895084937077E-2</v>
      </c>
      <c r="AD15" s="31">
        <f t="shared" si="12"/>
        <v>0.12927906806155454</v>
      </c>
      <c r="AE15" s="31">
        <f t="shared" si="13"/>
        <v>1.0359998990743691E-2</v>
      </c>
      <c r="AF15" s="31">
        <f t="shared" si="14"/>
        <v>8.542373135427983E-2</v>
      </c>
      <c r="AG15" s="31">
        <f t="shared" si="15"/>
        <v>-3.3983051789673979E-2</v>
      </c>
      <c r="AH15" s="31">
        <f t="shared" si="16"/>
        <v>-2.6446152815530755E-2</v>
      </c>
      <c r="AI15" s="31">
        <f t="shared" si="17"/>
        <v>-4.573056473968995E-3</v>
      </c>
      <c r="AJ15" s="31">
        <f t="shared" si="18"/>
        <v>-0.31227193220467886</v>
      </c>
      <c r="AK15" s="31">
        <f t="shared" si="19"/>
        <v>0.46510972779983284</v>
      </c>
      <c r="AL15" s="31">
        <f t="shared" si="20"/>
        <v>-0.171471296275305</v>
      </c>
      <c r="AM15" s="31">
        <f t="shared" si="21"/>
        <v>0.13072854311578586</v>
      </c>
      <c r="AN15" s="31">
        <f t="shared" si="22"/>
        <v>8.197204729504004E-2</v>
      </c>
      <c r="AO15" s="31">
        <f t="shared" si="23"/>
        <v>0.1180229318729864</v>
      </c>
    </row>
    <row r="16" spans="1:41" x14ac:dyDescent="0.2">
      <c r="B16" s="24" t="s">
        <v>36</v>
      </c>
      <c r="C16" s="6">
        <v>11045.21525637</v>
      </c>
      <c r="D16" s="6">
        <v>14645.071351680001</v>
      </c>
      <c r="E16" s="6">
        <v>18093.157264649999</v>
      </c>
      <c r="F16" s="6">
        <v>11020.644292869998</v>
      </c>
      <c r="G16" s="6">
        <v>12842.23116877</v>
      </c>
      <c r="H16" s="6">
        <v>13337.913021119999</v>
      </c>
      <c r="I16" s="6">
        <v>13589.319310759998</v>
      </c>
      <c r="J16" s="6">
        <v>13453.508342719997</v>
      </c>
      <c r="K16" s="6">
        <v>15559.688102519998</v>
      </c>
      <c r="L16" s="6">
        <v>14598.31794809</v>
      </c>
      <c r="M16" s="6">
        <v>15137.080130279999</v>
      </c>
      <c r="N16" s="6">
        <v>15103.545171049998</v>
      </c>
      <c r="O16" s="6">
        <v>14887.9529179</v>
      </c>
      <c r="P16" s="6">
        <v>13878.894462420001</v>
      </c>
      <c r="Q16" s="6">
        <v>9519.1185281399994</v>
      </c>
      <c r="R16" s="6">
        <v>15882.70210421</v>
      </c>
      <c r="S16" s="6">
        <v>16918.326981800001</v>
      </c>
      <c r="T16" s="6">
        <v>17779.181491030002</v>
      </c>
      <c r="U16" s="6">
        <v>18609.203785179998</v>
      </c>
      <c r="V16" s="6">
        <v>19734.242995599998</v>
      </c>
      <c r="W16" s="31">
        <f t="shared" si="5"/>
        <v>0.32591995825829567</v>
      </c>
      <c r="X16" s="31">
        <f t="shared" si="6"/>
        <v>0.23544343555379488</v>
      </c>
      <c r="Y16" s="31">
        <f t="shared" si="7"/>
        <v>-0.3908943512914751</v>
      </c>
      <c r="Z16" s="31">
        <f t="shared" si="8"/>
        <v>0.16528860087413499</v>
      </c>
      <c r="AA16" s="31">
        <f t="shared" si="9"/>
        <v>3.8597798609591116E-2</v>
      </c>
      <c r="AB16" s="31">
        <f t="shared" si="10"/>
        <v>1.8848997533715162E-2</v>
      </c>
      <c r="AC16" s="31">
        <f t="shared" si="11"/>
        <v>-9.9939492872513913E-3</v>
      </c>
      <c r="AD16" s="31">
        <f t="shared" si="12"/>
        <v>0.15655245502855797</v>
      </c>
      <c r="AE16" s="31">
        <f t="shared" si="13"/>
        <v>-6.1785952783609988E-2</v>
      </c>
      <c r="AF16" s="31">
        <f t="shared" si="14"/>
        <v>3.6905771206366289E-2</v>
      </c>
      <c r="AG16" s="31">
        <f t="shared" si="15"/>
        <v>-2.2154179631326265E-3</v>
      </c>
      <c r="AH16" s="31">
        <f t="shared" si="16"/>
        <v>-1.4274281349734963E-2</v>
      </c>
      <c r="AI16" s="31">
        <f t="shared" si="17"/>
        <v>-6.7776843535473086E-2</v>
      </c>
      <c r="AJ16" s="31">
        <f t="shared" si="18"/>
        <v>-0.31412991474825347</v>
      </c>
      <c r="AK16" s="31">
        <f t="shared" si="19"/>
        <v>0.66850555093502151</v>
      </c>
      <c r="AL16" s="31">
        <f t="shared" si="20"/>
        <v>6.520457733168028E-2</v>
      </c>
      <c r="AM16" s="31">
        <f t="shared" si="21"/>
        <v>5.0882957289811959E-2</v>
      </c>
      <c r="AN16" s="31">
        <f t="shared" si="22"/>
        <v>4.6685067845713801E-2</v>
      </c>
      <c r="AO16" s="31">
        <f t="shared" si="23"/>
        <v>6.0456063752494238E-2</v>
      </c>
    </row>
    <row r="17" spans="2:41" x14ac:dyDescent="0.2">
      <c r="B17" s="23" t="s">
        <v>25</v>
      </c>
      <c r="C17" s="6">
        <v>867.99556846000007</v>
      </c>
      <c r="D17" s="6">
        <v>2500.6912361099999</v>
      </c>
      <c r="E17" s="6">
        <v>3163.9423233400003</v>
      </c>
      <c r="F17" s="6">
        <f>+F18+F19</f>
        <v>2385.32396113</v>
      </c>
      <c r="G17" s="6">
        <f>+G18+G19</f>
        <v>2299.9216060399999</v>
      </c>
      <c r="H17" s="6">
        <f>+H18+H19</f>
        <v>2276.7300146200005</v>
      </c>
      <c r="I17" s="6">
        <f>+I18+I19</f>
        <v>2181.2553303899999</v>
      </c>
      <c r="J17" s="6">
        <f t="shared" ref="J17:O17" si="27">+J18+J19+J20</f>
        <v>1655.63628122</v>
      </c>
      <c r="K17" s="6">
        <f t="shared" si="27"/>
        <v>2906.3100550600002</v>
      </c>
      <c r="L17" s="6">
        <f t="shared" si="27"/>
        <v>2596.2883138200004</v>
      </c>
      <c r="M17" s="6">
        <f t="shared" si="27"/>
        <v>2967.1375754999999</v>
      </c>
      <c r="N17" s="6">
        <f t="shared" si="27"/>
        <v>3275.7953486699998</v>
      </c>
      <c r="O17" s="6">
        <f t="shared" si="27"/>
        <v>3247.1739024799999</v>
      </c>
      <c r="P17" s="6">
        <f t="shared" ref="P17:V17" si="28">+P18+P19+P20</f>
        <v>3168.3361483200006</v>
      </c>
      <c r="Q17" s="6">
        <f t="shared" si="28"/>
        <v>3094.9883381899999</v>
      </c>
      <c r="R17" s="6">
        <f t="shared" si="28"/>
        <v>3794.09872877</v>
      </c>
      <c r="S17" s="6">
        <f t="shared" si="28"/>
        <v>2268.7393259400001</v>
      </c>
      <c r="T17" s="6">
        <f t="shared" si="28"/>
        <v>3216.4763345500005</v>
      </c>
      <c r="U17" s="6">
        <f t="shared" si="28"/>
        <v>2980.99903348</v>
      </c>
      <c r="V17" s="6">
        <f t="shared" si="28"/>
        <v>2699.5024971100001</v>
      </c>
      <c r="W17" s="31">
        <f t="shared" si="5"/>
        <v>1.8809953955718144</v>
      </c>
      <c r="X17" s="31">
        <f t="shared" si="6"/>
        <v>0.26522710107215541</v>
      </c>
      <c r="Y17" s="31">
        <f t="shared" si="7"/>
        <v>-0.24609119972454352</v>
      </c>
      <c r="Z17" s="31">
        <f t="shared" si="8"/>
        <v>-3.5803252087210136E-2</v>
      </c>
      <c r="AA17" s="31">
        <f t="shared" si="9"/>
        <v>-1.0083644311655759E-2</v>
      </c>
      <c r="AB17" s="31">
        <f t="shared" si="10"/>
        <v>-4.1935004860879754E-2</v>
      </c>
      <c r="AC17" s="31">
        <f t="shared" si="11"/>
        <v>-0.24097089499193169</v>
      </c>
      <c r="AD17" s="31">
        <f t="shared" si="12"/>
        <v>0.75540370069590868</v>
      </c>
      <c r="AE17" s="31">
        <f t="shared" si="13"/>
        <v>-0.1066719432430272</v>
      </c>
      <c r="AF17" s="31">
        <f t="shared" si="14"/>
        <v>0.14283824323592054</v>
      </c>
      <c r="AG17" s="31">
        <f t="shared" si="15"/>
        <v>0.10402543371046336</v>
      </c>
      <c r="AH17" s="31">
        <f t="shared" si="16"/>
        <v>-8.737251001232571E-3</v>
      </c>
      <c r="AI17" s="31">
        <f t="shared" si="17"/>
        <v>-2.4278882661562307E-2</v>
      </c>
      <c r="AJ17" s="31">
        <f t="shared" si="18"/>
        <v>-2.3150261429455088E-2</v>
      </c>
      <c r="AK17" s="31">
        <f t="shared" si="19"/>
        <v>0.22588466067980439</v>
      </c>
      <c r="AL17" s="31">
        <f t="shared" si="20"/>
        <v>-0.40203471545520442</v>
      </c>
      <c r="AM17" s="31">
        <f t="shared" si="21"/>
        <v>0.41773728597811788</v>
      </c>
      <c r="AN17" s="31">
        <f t="shared" si="22"/>
        <v>-7.3209710433931985E-2</v>
      </c>
      <c r="AO17" s="31">
        <f t="shared" si="23"/>
        <v>-9.4430267574217353E-2</v>
      </c>
    </row>
    <row r="18" spans="2:41" x14ac:dyDescent="0.2">
      <c r="B18" s="24" t="s">
        <v>37</v>
      </c>
      <c r="C18" s="6">
        <v>867.99556846000007</v>
      </c>
      <c r="D18" s="6">
        <v>102.95528965999999</v>
      </c>
      <c r="E18" s="6">
        <v>95.014828620000003</v>
      </c>
      <c r="F18" s="6">
        <v>80.729893250000003</v>
      </c>
      <c r="G18" s="6">
        <v>89.025341770000011</v>
      </c>
      <c r="H18" s="6">
        <v>93.542008499999994</v>
      </c>
      <c r="I18" s="6">
        <v>90.084775500000006</v>
      </c>
      <c r="J18" s="6">
        <v>88.419906660000009</v>
      </c>
      <c r="K18" s="6">
        <v>106.293249</v>
      </c>
      <c r="L18" s="6">
        <v>90.305761500000003</v>
      </c>
      <c r="M18" s="6">
        <v>108.77731892999999</v>
      </c>
      <c r="N18" s="6">
        <v>116.556888</v>
      </c>
      <c r="O18" s="6">
        <v>117.65904749999999</v>
      </c>
      <c r="P18" s="6">
        <v>105.17503350000001</v>
      </c>
      <c r="Q18" s="6">
        <v>116.64857550000002</v>
      </c>
      <c r="R18" s="6">
        <v>124.98254400000002</v>
      </c>
      <c r="S18" s="6">
        <v>67.838691000000011</v>
      </c>
      <c r="T18" s="6">
        <v>115.75279200000001</v>
      </c>
      <c r="U18" s="6">
        <v>113.1191175</v>
      </c>
      <c r="V18" s="6">
        <v>99.302980500000004</v>
      </c>
      <c r="W18" s="31">
        <f t="shared" si="5"/>
        <v>-0.88138730956580402</v>
      </c>
      <c r="X18" s="31">
        <f t="shared" si="6"/>
        <v>-7.7125333396881324E-2</v>
      </c>
      <c r="Y18" s="31">
        <f t="shared" si="7"/>
        <v>-0.15034427338842893</v>
      </c>
      <c r="Z18" s="31">
        <f t="shared" si="8"/>
        <v>0.10275559877567408</v>
      </c>
      <c r="AA18" s="31">
        <f t="shared" si="9"/>
        <v>5.0734618258124087E-2</v>
      </c>
      <c r="AB18" s="31">
        <f t="shared" si="10"/>
        <v>-3.6959148680242304E-2</v>
      </c>
      <c r="AC18" s="31">
        <f t="shared" si="11"/>
        <v>-1.848113436215415E-2</v>
      </c>
      <c r="AD18" s="31">
        <f t="shared" si="12"/>
        <v>0.20214161058468583</v>
      </c>
      <c r="AE18" s="31">
        <f t="shared" si="13"/>
        <v>-0.15040924659288568</v>
      </c>
      <c r="AF18" s="31">
        <f t="shared" si="14"/>
        <v>0.20454461734426532</v>
      </c>
      <c r="AG18" s="31">
        <f t="shared" si="15"/>
        <v>7.1518301301453091E-2</v>
      </c>
      <c r="AH18" s="31">
        <f t="shared" si="16"/>
        <v>9.4559791266903837E-3</v>
      </c>
      <c r="AI18" s="31">
        <f t="shared" si="17"/>
        <v>-0.10610330667516221</v>
      </c>
      <c r="AJ18" s="31">
        <f t="shared" si="18"/>
        <v>0.10908997713796786</v>
      </c>
      <c r="AK18" s="31">
        <f t="shared" si="19"/>
        <v>7.1445094500961037E-2</v>
      </c>
      <c r="AL18" s="31">
        <f t="shared" si="20"/>
        <v>-0.45721467311467112</v>
      </c>
      <c r="AM18" s="31">
        <f t="shared" si="21"/>
        <v>0.70629459816670104</v>
      </c>
      <c r="AN18" s="31">
        <f t="shared" si="22"/>
        <v>-2.2752578615987229E-2</v>
      </c>
      <c r="AO18" s="31">
        <f t="shared" si="23"/>
        <v>-0.12213794896340135</v>
      </c>
    </row>
    <row r="19" spans="2:41" x14ac:dyDescent="0.2">
      <c r="B19" s="24" t="s">
        <v>38</v>
      </c>
      <c r="C19" s="6">
        <v>0</v>
      </c>
      <c r="D19" s="6">
        <v>2397.73594645</v>
      </c>
      <c r="E19" s="6">
        <v>3068.9274947200001</v>
      </c>
      <c r="F19" s="6">
        <v>2304.5940678800002</v>
      </c>
      <c r="G19" s="6">
        <v>2210.8962642699998</v>
      </c>
      <c r="H19" s="6">
        <v>2183.1880061200004</v>
      </c>
      <c r="I19" s="6">
        <v>2091.1705548899999</v>
      </c>
      <c r="J19" s="6">
        <v>1567.2163745600001</v>
      </c>
      <c r="K19" s="6">
        <v>1850.7835468999999</v>
      </c>
      <c r="L19" s="6">
        <v>1559.4509038200001</v>
      </c>
      <c r="M19" s="6">
        <v>1903.7774435699998</v>
      </c>
      <c r="N19" s="6">
        <v>2131.9366609199997</v>
      </c>
      <c r="O19" s="6">
        <v>2167.7977537299998</v>
      </c>
      <c r="P19" s="6">
        <v>2029.4203763200003</v>
      </c>
      <c r="Q19" s="6">
        <v>2168.32838369</v>
      </c>
      <c r="R19" s="6">
        <v>2479.57341077</v>
      </c>
      <c r="S19" s="6">
        <v>1417.2095851900001</v>
      </c>
      <c r="T19" s="6">
        <v>2070.7176950500002</v>
      </c>
      <c r="U19" s="6">
        <v>1903.27967373</v>
      </c>
      <c r="V19" s="6">
        <v>1637.50613436</v>
      </c>
      <c r="W19" s="31" t="e">
        <f>+D19/C19-1</f>
        <v>#DIV/0!</v>
      </c>
      <c r="X19" s="31">
        <f t="shared" si="6"/>
        <v>0.27992721603216641</v>
      </c>
      <c r="Y19" s="31">
        <f t="shared" si="7"/>
        <v>-0.24905555056449302</v>
      </c>
      <c r="Z19" s="31">
        <f t="shared" si="8"/>
        <v>-4.0656966411526496E-2</v>
      </c>
      <c r="AA19" s="31">
        <f t="shared" si="9"/>
        <v>-1.2532590785822473E-2</v>
      </c>
      <c r="AB19" s="31">
        <f t="shared" si="10"/>
        <v>-4.2148202982085547E-2</v>
      </c>
      <c r="AC19" s="31">
        <f t="shared" si="11"/>
        <v>-0.25055545044127736</v>
      </c>
      <c r="AD19" s="31">
        <f t="shared" si="12"/>
        <v>0.18093683612743772</v>
      </c>
      <c r="AE19" s="31">
        <f t="shared" si="13"/>
        <v>-0.15741043493063911</v>
      </c>
      <c r="AF19" s="31">
        <f t="shared" si="14"/>
        <v>0.22079985904432409</v>
      </c>
      <c r="AG19" s="31">
        <f t="shared" si="15"/>
        <v>0.11984553032740597</v>
      </c>
      <c r="AH19" s="31">
        <f t="shared" si="16"/>
        <v>1.6820899732792771E-2</v>
      </c>
      <c r="AI19" s="31">
        <f t="shared" si="17"/>
        <v>-6.3833158407836654E-2</v>
      </c>
      <c r="AJ19" s="31">
        <f t="shared" si="18"/>
        <v>6.8447133472605115E-2</v>
      </c>
      <c r="AK19" s="31">
        <f t="shared" si="19"/>
        <v>0.14354146236389353</v>
      </c>
      <c r="AL19" s="31">
        <f t="shared" si="20"/>
        <v>-0.42844620811210277</v>
      </c>
      <c r="AM19" s="31">
        <f t="shared" si="21"/>
        <v>0.46112312299410996</v>
      </c>
      <c r="AN19" s="31">
        <f t="shared" si="22"/>
        <v>-8.0859897860658059E-2</v>
      </c>
      <c r="AO19" s="31">
        <f t="shared" si="23"/>
        <v>-0.13963977183087528</v>
      </c>
    </row>
    <row r="20" spans="2:41" x14ac:dyDescent="0.2">
      <c r="B20" s="24" t="s">
        <v>54</v>
      </c>
      <c r="C20" s="6"/>
      <c r="D20" s="6"/>
      <c r="E20" s="6"/>
      <c r="F20" s="6"/>
      <c r="G20" s="6"/>
      <c r="H20" s="6"/>
      <c r="I20" s="6">
        <v>0</v>
      </c>
      <c r="J20" s="6">
        <v>0</v>
      </c>
      <c r="K20" s="6">
        <v>949.2332591600001</v>
      </c>
      <c r="L20" s="6">
        <v>946.53164850000007</v>
      </c>
      <c r="M20" s="6">
        <v>954.58281299999999</v>
      </c>
      <c r="N20" s="6">
        <v>1027.3017997500001</v>
      </c>
      <c r="O20" s="6">
        <v>961.71710125000016</v>
      </c>
      <c r="P20" s="6">
        <v>1033.7407384999999</v>
      </c>
      <c r="Q20" s="6">
        <v>810.01137900000003</v>
      </c>
      <c r="R20" s="6">
        <v>1189.542774</v>
      </c>
      <c r="S20" s="6">
        <v>783.69104975000005</v>
      </c>
      <c r="T20" s="6">
        <v>1030.0058475000001</v>
      </c>
      <c r="U20" s="6">
        <v>964.60024225000006</v>
      </c>
      <c r="V20" s="6">
        <v>962.69338225000001</v>
      </c>
      <c r="W20" s="59" t="e">
        <f t="shared" si="5"/>
        <v>#DIV/0!</v>
      </c>
      <c r="X20" s="59" t="e">
        <f t="shared" si="6"/>
        <v>#DIV/0!</v>
      </c>
      <c r="Y20" s="59" t="e">
        <f t="shared" si="7"/>
        <v>#DIV/0!</v>
      </c>
      <c r="Z20" s="59" t="e">
        <f t="shared" si="8"/>
        <v>#DIV/0!</v>
      </c>
      <c r="AA20" s="59" t="e">
        <f t="shared" si="9"/>
        <v>#DIV/0!</v>
      </c>
      <c r="AB20" s="59" t="e">
        <f t="shared" si="10"/>
        <v>#DIV/0!</v>
      </c>
      <c r="AC20" s="59" t="e">
        <f t="shared" si="11"/>
        <v>#DIV/0!</v>
      </c>
      <c r="AD20" s="59" t="e">
        <f t="shared" si="12"/>
        <v>#DIV/0!</v>
      </c>
      <c r="AE20" s="31">
        <f t="shared" si="13"/>
        <v>-2.8460977677823296E-3</v>
      </c>
      <c r="AF20" s="31">
        <f t="shared" si="14"/>
        <v>8.505964394068366E-3</v>
      </c>
      <c r="AG20" s="31">
        <f t="shared" si="15"/>
        <v>7.6178814199957756E-2</v>
      </c>
      <c r="AH20" s="31">
        <f t="shared" si="16"/>
        <v>-6.3841705052945841E-2</v>
      </c>
      <c r="AI20" s="31">
        <f t="shared" si="17"/>
        <v>7.489066915456366E-2</v>
      </c>
      <c r="AJ20" s="31">
        <f t="shared" si="18"/>
        <v>-0.21642695423287694</v>
      </c>
      <c r="AK20" s="31">
        <f t="shared" si="19"/>
        <v>0.46855069550819239</v>
      </c>
      <c r="AL20" s="31">
        <f t="shared" si="20"/>
        <v>-0.34118295963857448</v>
      </c>
      <c r="AM20" s="31">
        <f t="shared" si="21"/>
        <v>0.31430089424726138</v>
      </c>
      <c r="AN20" s="31">
        <f t="shared" si="22"/>
        <v>-6.3500227118856278E-2</v>
      </c>
      <c r="AO20" s="31">
        <f t="shared" si="23"/>
        <v>-1.9768396445268843E-3</v>
      </c>
    </row>
    <row r="21" spans="2:41" x14ac:dyDescent="0.2">
      <c r="B21" s="23" t="s">
        <v>26</v>
      </c>
      <c r="C21" s="6">
        <v>340920.05020093999</v>
      </c>
      <c r="D21" s="6">
        <v>428650.16859153</v>
      </c>
      <c r="E21" s="6">
        <v>543646.97707813</v>
      </c>
      <c r="F21" s="6">
        <f t="shared" ref="F21:O21" si="29">+F22+F23</f>
        <v>472208.43123165</v>
      </c>
      <c r="G21" s="6">
        <f t="shared" si="29"/>
        <v>532537.60980765999</v>
      </c>
      <c r="H21" s="6">
        <f t="shared" si="29"/>
        <v>569413.77746116999</v>
      </c>
      <c r="I21" s="6">
        <f t="shared" si="29"/>
        <v>650590.54576802999</v>
      </c>
      <c r="J21" s="6">
        <f t="shared" si="29"/>
        <v>670256.86296904006</v>
      </c>
      <c r="K21" s="6">
        <f t="shared" si="29"/>
        <v>735240.86213935993</v>
      </c>
      <c r="L21" s="6">
        <f t="shared" si="29"/>
        <v>758589.33412090002</v>
      </c>
      <c r="M21" s="6">
        <f t="shared" si="29"/>
        <v>809597.86848951015</v>
      </c>
      <c r="N21" s="6">
        <f t="shared" si="29"/>
        <v>842410.92093805014</v>
      </c>
      <c r="O21" s="6">
        <f t="shared" si="29"/>
        <v>855287.72713000001</v>
      </c>
      <c r="P21" s="6">
        <f t="shared" ref="P21:V21" si="30">+P22+P23</f>
        <v>876284.3627841</v>
      </c>
      <c r="Q21" s="6">
        <f t="shared" si="30"/>
        <v>836393.21311054996</v>
      </c>
      <c r="R21" s="6">
        <f t="shared" si="30"/>
        <v>1129982.2267298498</v>
      </c>
      <c r="S21" s="6">
        <f t="shared" si="30"/>
        <v>1208893.3277444199</v>
      </c>
      <c r="T21" s="6">
        <f t="shared" si="30"/>
        <v>1337692.4334124902</v>
      </c>
      <c r="U21" s="6">
        <f t="shared" si="30"/>
        <v>1404753.31942651</v>
      </c>
      <c r="V21" s="6">
        <f t="shared" si="30"/>
        <v>1455785.4692313098</v>
      </c>
      <c r="W21" s="31">
        <f t="shared" si="5"/>
        <v>0.25733340804942806</v>
      </c>
      <c r="X21" s="31">
        <f t="shared" si="6"/>
        <v>0.26827659689125882</v>
      </c>
      <c r="Y21" s="31">
        <f t="shared" si="7"/>
        <v>-0.1314061309242105</v>
      </c>
      <c r="Z21" s="31">
        <f t="shared" si="8"/>
        <v>0.12775963872278773</v>
      </c>
      <c r="AA21" s="31">
        <f t="shared" si="9"/>
        <v>6.9246128300363141E-2</v>
      </c>
      <c r="AB21" s="31">
        <f t="shared" si="10"/>
        <v>0.14256200239621997</v>
      </c>
      <c r="AC21" s="31">
        <f t="shared" si="11"/>
        <v>3.0228409141411339E-2</v>
      </c>
      <c r="AD21" s="31">
        <f t="shared" si="12"/>
        <v>9.6953873597742657E-2</v>
      </c>
      <c r="AE21" s="31">
        <f t="shared" si="13"/>
        <v>3.1756221918354921E-2</v>
      </c>
      <c r="AF21" s="31">
        <f t="shared" si="14"/>
        <v>6.7241301814138899E-2</v>
      </c>
      <c r="AG21" s="31">
        <f t="shared" si="15"/>
        <v>4.053006279495297E-2</v>
      </c>
      <c r="AH21" s="31">
        <f t="shared" si="16"/>
        <v>1.528565913842983E-2</v>
      </c>
      <c r="AI21" s="31">
        <f t="shared" si="17"/>
        <v>2.4549207229427106E-2</v>
      </c>
      <c r="AJ21" s="31">
        <f t="shared" si="18"/>
        <v>-4.5523064621179943E-2</v>
      </c>
      <c r="AK21" s="31">
        <f t="shared" si="19"/>
        <v>0.35101792914775221</v>
      </c>
      <c r="AL21" s="31">
        <f t="shared" si="20"/>
        <v>6.9833931143268968E-2</v>
      </c>
      <c r="AM21" s="31">
        <f t="shared" si="21"/>
        <v>0.10654298664083672</v>
      </c>
      <c r="AN21" s="31">
        <f t="shared" si="22"/>
        <v>5.0131767466865096E-2</v>
      </c>
      <c r="AO21" s="31">
        <f t="shared" si="23"/>
        <v>3.6328193070676473E-2</v>
      </c>
    </row>
    <row r="22" spans="2:41" x14ac:dyDescent="0.2">
      <c r="B22" s="24" t="s">
        <v>27</v>
      </c>
      <c r="C22" s="6">
        <v>171650.33450890999</v>
      </c>
      <c r="D22" s="6">
        <v>212271.19745139001</v>
      </c>
      <c r="E22" s="6">
        <v>260311.58914365002</v>
      </c>
      <c r="F22" s="6">
        <v>264450.71185455</v>
      </c>
      <c r="G22" s="6">
        <v>285321.93326614</v>
      </c>
      <c r="H22" s="6">
        <v>299011.54057845002</v>
      </c>
      <c r="I22" s="6">
        <v>343522.97807269002</v>
      </c>
      <c r="J22" s="6">
        <v>364105.78290023003</v>
      </c>
      <c r="K22" s="6">
        <v>382588.77614006994</v>
      </c>
      <c r="L22" s="6">
        <v>402894.52787755005</v>
      </c>
      <c r="M22" s="6">
        <v>436077.82419204008</v>
      </c>
      <c r="N22" s="6">
        <v>448983.73546703008</v>
      </c>
      <c r="O22" s="6">
        <v>457944.90818482003</v>
      </c>
      <c r="P22" s="6">
        <v>487375.05691868998</v>
      </c>
      <c r="Q22" s="6">
        <v>544758.85517310991</v>
      </c>
      <c r="R22" s="6">
        <v>686816.25210989988</v>
      </c>
      <c r="S22" s="6">
        <v>781501.02648517</v>
      </c>
      <c r="T22" s="6">
        <v>845877.99137623014</v>
      </c>
      <c r="U22" s="6">
        <v>891015.59068640997</v>
      </c>
      <c r="V22" s="6">
        <v>916971.74121958006</v>
      </c>
      <c r="W22" s="31">
        <f t="shared" si="5"/>
        <v>0.23664890056110832</v>
      </c>
      <c r="X22" s="31">
        <f t="shared" si="6"/>
        <v>0.22631611009431096</v>
      </c>
      <c r="Y22" s="31">
        <f t="shared" si="7"/>
        <v>1.5900647084198249E-2</v>
      </c>
      <c r="Z22" s="31">
        <f t="shared" si="8"/>
        <v>7.8922916354520201E-2</v>
      </c>
      <c r="AA22" s="31">
        <f t="shared" si="9"/>
        <v>4.7979512670484947E-2</v>
      </c>
      <c r="AB22" s="31">
        <f t="shared" si="10"/>
        <v>0.14886193826542882</v>
      </c>
      <c r="AC22" s="31">
        <f t="shared" si="11"/>
        <v>5.9916821119269104E-2</v>
      </c>
      <c r="AD22" s="31">
        <f t="shared" si="12"/>
        <v>5.0762701686901002E-2</v>
      </c>
      <c r="AE22" s="31">
        <f t="shared" si="13"/>
        <v>5.3074614321790614E-2</v>
      </c>
      <c r="AF22" s="31">
        <f t="shared" si="14"/>
        <v>8.2362241277635917E-2</v>
      </c>
      <c r="AG22" s="31">
        <f t="shared" si="15"/>
        <v>2.9595431271704609E-2</v>
      </c>
      <c r="AH22" s="31">
        <f t="shared" si="16"/>
        <v>1.9958791399133036E-2</v>
      </c>
      <c r="AI22" s="31">
        <f t="shared" si="17"/>
        <v>6.4265697047541703E-2</v>
      </c>
      <c r="AJ22" s="31">
        <f t="shared" si="18"/>
        <v>0.11774053152661312</v>
      </c>
      <c r="AK22" s="31">
        <f t="shared" si="19"/>
        <v>0.26077115697669173</v>
      </c>
      <c r="AL22" s="31">
        <f t="shared" si="20"/>
        <v>0.13786041620942791</v>
      </c>
      <c r="AM22" s="31">
        <f t="shared" si="21"/>
        <v>8.2376046491708266E-2</v>
      </c>
      <c r="AN22" s="31">
        <f t="shared" si="22"/>
        <v>5.3361832049491742E-2</v>
      </c>
      <c r="AO22" s="31">
        <f t="shared" si="23"/>
        <v>2.9130972347155337E-2</v>
      </c>
    </row>
    <row r="23" spans="2:41" x14ac:dyDescent="0.2">
      <c r="B23" s="24" t="s">
        <v>28</v>
      </c>
      <c r="C23" s="6">
        <v>169269.71569203003</v>
      </c>
      <c r="D23" s="6">
        <v>216378.97114014</v>
      </c>
      <c r="E23" s="6">
        <v>283335.38793447998</v>
      </c>
      <c r="F23" s="6">
        <v>207757.7193771</v>
      </c>
      <c r="G23" s="6">
        <v>247215.67654152002</v>
      </c>
      <c r="H23" s="6">
        <v>270402.23688272003</v>
      </c>
      <c r="I23" s="6">
        <v>307067.56769534003</v>
      </c>
      <c r="J23" s="6">
        <v>306151.08006881003</v>
      </c>
      <c r="K23" s="6">
        <v>352652.08599928999</v>
      </c>
      <c r="L23" s="6">
        <v>355694.80624334997</v>
      </c>
      <c r="M23" s="6">
        <v>373520.04429747001</v>
      </c>
      <c r="N23" s="6">
        <v>393427.18547102</v>
      </c>
      <c r="O23" s="6">
        <v>397342.81894518004</v>
      </c>
      <c r="P23" s="6">
        <v>388909.30586541002</v>
      </c>
      <c r="Q23" s="6">
        <v>291634.35793744004</v>
      </c>
      <c r="R23" s="6">
        <v>443165.97461994999</v>
      </c>
      <c r="S23" s="6">
        <v>427392.30125924997</v>
      </c>
      <c r="T23" s="6">
        <v>491814.44203626004</v>
      </c>
      <c r="U23" s="6">
        <v>513737.72874009993</v>
      </c>
      <c r="V23" s="6">
        <v>538813.72801172989</v>
      </c>
      <c r="W23" s="31">
        <f t="shared" si="5"/>
        <v>0.27830882361627363</v>
      </c>
      <c r="X23" s="31">
        <f t="shared" si="6"/>
        <v>0.30944049896131065</v>
      </c>
      <c r="Y23" s="31">
        <f t="shared" si="7"/>
        <v>-0.26674277826127735</v>
      </c>
      <c r="Z23" s="31">
        <f t="shared" si="8"/>
        <v>0.18992294140849753</v>
      </c>
      <c r="AA23" s="31">
        <f t="shared" si="9"/>
        <v>9.3790817255497982E-2</v>
      </c>
      <c r="AB23" s="31">
        <f t="shared" si="10"/>
        <v>0.13559551590737251</v>
      </c>
      <c r="AC23" s="31">
        <f t="shared" si="11"/>
        <v>-2.9846448239668755E-3</v>
      </c>
      <c r="AD23" s="31">
        <f t="shared" si="12"/>
        <v>0.15188908012354063</v>
      </c>
      <c r="AE23" s="31">
        <f t="shared" si="13"/>
        <v>8.6281078855325877E-3</v>
      </c>
      <c r="AF23" s="31">
        <f t="shared" si="14"/>
        <v>5.0113855308657085E-2</v>
      </c>
      <c r="AG23" s="31">
        <f t="shared" si="15"/>
        <v>5.3296045225610378E-2</v>
      </c>
      <c r="AH23" s="31">
        <f t="shared" si="16"/>
        <v>9.9526255906088323E-3</v>
      </c>
      <c r="AI23" s="31">
        <f t="shared" si="17"/>
        <v>-2.1224777893704805E-2</v>
      </c>
      <c r="AJ23" s="31">
        <f t="shared" si="18"/>
        <v>-0.25012244875835898</v>
      </c>
      <c r="AK23" s="31">
        <f t="shared" si="19"/>
        <v>0.51959452841635256</v>
      </c>
      <c r="AL23" s="31">
        <f t="shared" si="20"/>
        <v>-3.5593150792380235E-2</v>
      </c>
      <c r="AM23" s="31">
        <f t="shared" si="21"/>
        <v>0.15073303984933628</v>
      </c>
      <c r="AN23" s="31">
        <f t="shared" si="22"/>
        <v>4.4576337801449872E-2</v>
      </c>
      <c r="AO23" s="31">
        <f t="shared" si="23"/>
        <v>4.8810896823028305E-2</v>
      </c>
    </row>
    <row r="24" spans="2:41" x14ac:dyDescent="0.2">
      <c r="B24" s="23" t="s">
        <v>29</v>
      </c>
      <c r="C24" s="6">
        <v>60901.281283189994</v>
      </c>
      <c r="D24" s="6">
        <v>79199.866173860006</v>
      </c>
      <c r="E24" s="6">
        <v>103299.54332055998</v>
      </c>
      <c r="F24" s="6">
        <f t="shared" ref="F24:O24" si="31">+F25+F26</f>
        <v>65545.710458279995</v>
      </c>
      <c r="G24" s="6">
        <f t="shared" si="31"/>
        <v>82300.200852160007</v>
      </c>
      <c r="H24" s="6">
        <f t="shared" si="31"/>
        <v>97368.355412820005</v>
      </c>
      <c r="I24" s="6">
        <f t="shared" si="31"/>
        <v>110807.07691548999</v>
      </c>
      <c r="J24" s="6">
        <f t="shared" si="31"/>
        <v>103542.85341871998</v>
      </c>
      <c r="K24" s="6">
        <f t="shared" si="31"/>
        <v>111232.11095879</v>
      </c>
      <c r="L24" s="6">
        <f t="shared" si="31"/>
        <v>125958.86028622001</v>
      </c>
      <c r="M24" s="6">
        <f t="shared" si="31"/>
        <v>147698.25735307002</v>
      </c>
      <c r="N24" s="6">
        <f t="shared" si="31"/>
        <v>143241.94056712001</v>
      </c>
      <c r="O24" s="6">
        <f t="shared" si="31"/>
        <v>130462.64280828</v>
      </c>
      <c r="P24" s="6">
        <f t="shared" ref="P24:V24" si="32">+P25+P26</f>
        <v>114098.45156183999</v>
      </c>
      <c r="Q24" s="6">
        <f t="shared" si="32"/>
        <v>70291.31201999</v>
      </c>
      <c r="R24" s="6">
        <f t="shared" si="32"/>
        <v>109040.12637973001</v>
      </c>
      <c r="S24" s="6">
        <f t="shared" si="32"/>
        <v>107178.81089899001</v>
      </c>
      <c r="T24" s="6">
        <f t="shared" si="32"/>
        <v>153654.90410818998</v>
      </c>
      <c r="U24" s="6">
        <f t="shared" si="32"/>
        <v>187694.87498090998</v>
      </c>
      <c r="V24" s="6">
        <f t="shared" si="32"/>
        <v>170414.43372573002</v>
      </c>
      <c r="W24" s="31">
        <f t="shared" si="5"/>
        <v>0.30046305274895424</v>
      </c>
      <c r="X24" s="31">
        <f t="shared" si="6"/>
        <v>0.30428936702741671</v>
      </c>
      <c r="Y24" s="31">
        <f t="shared" si="7"/>
        <v>-0.36547918459931605</v>
      </c>
      <c r="Z24" s="31">
        <f t="shared" si="8"/>
        <v>0.25561536028424459</v>
      </c>
      <c r="AA24" s="31">
        <f t="shared" si="9"/>
        <v>0.18308770093681392</v>
      </c>
      <c r="AB24" s="31">
        <f t="shared" si="10"/>
        <v>0.13801939496351578</v>
      </c>
      <c r="AC24" s="31">
        <f t="shared" si="11"/>
        <v>-6.5557396684241209E-2</v>
      </c>
      <c r="AD24" s="31">
        <f t="shared" si="12"/>
        <v>7.4261595911165434E-2</v>
      </c>
      <c r="AE24" s="31">
        <f t="shared" si="13"/>
        <v>0.13239656426988122</v>
      </c>
      <c r="AF24" s="31">
        <f t="shared" si="14"/>
        <v>0.17259124937658954</v>
      </c>
      <c r="AG24" s="31">
        <f t="shared" si="15"/>
        <v>-3.0171762794040768E-2</v>
      </c>
      <c r="AH24" s="31">
        <f t="shared" si="16"/>
        <v>-8.9214776819167119E-2</v>
      </c>
      <c r="AI24" s="31">
        <f t="shared" si="17"/>
        <v>-0.12543200792343168</v>
      </c>
      <c r="AJ24" s="31">
        <f t="shared" si="18"/>
        <v>-0.38394157801613149</v>
      </c>
      <c r="AK24" s="31">
        <f t="shared" si="19"/>
        <v>0.5512603655586954</v>
      </c>
      <c r="AL24" s="31">
        <f t="shared" si="20"/>
        <v>-1.7070004800416316E-2</v>
      </c>
      <c r="AM24" s="31">
        <f t="shared" si="21"/>
        <v>0.43363135697597044</v>
      </c>
      <c r="AN24" s="31">
        <f t="shared" si="22"/>
        <v>0.22153520624862133</v>
      </c>
      <c r="AO24" s="31">
        <f t="shared" si="23"/>
        <v>-9.2066665416077664E-2</v>
      </c>
    </row>
    <row r="25" spans="2:41" x14ac:dyDescent="0.2">
      <c r="B25" s="24" t="s">
        <v>27</v>
      </c>
      <c r="C25" s="6">
        <v>9913.0062688999988</v>
      </c>
      <c r="D25" s="6">
        <v>11234.697138469999</v>
      </c>
      <c r="E25" s="6">
        <v>13324.05914222</v>
      </c>
      <c r="F25" s="6">
        <v>14465.341606150001</v>
      </c>
      <c r="G25" s="6">
        <v>14620.233262020001</v>
      </c>
      <c r="H25" s="6">
        <v>15623.855867380002</v>
      </c>
      <c r="I25" s="6">
        <v>16847.443358</v>
      </c>
      <c r="J25" s="6">
        <v>14562.801965600001</v>
      </c>
      <c r="K25" s="6">
        <v>13003.622111190001</v>
      </c>
      <c r="L25" s="6">
        <v>13383.040111640001</v>
      </c>
      <c r="M25" s="6">
        <v>13428.134069139998</v>
      </c>
      <c r="N25" s="6">
        <v>13889.977381170002</v>
      </c>
      <c r="O25" s="6">
        <v>14560.546591560002</v>
      </c>
      <c r="P25" s="6">
        <v>5757.5884655000009</v>
      </c>
      <c r="Q25" s="6">
        <v>3700.6033969999999</v>
      </c>
      <c r="R25" s="6">
        <v>6176.3708539999998</v>
      </c>
      <c r="S25" s="6">
        <v>6866.9627199999995</v>
      </c>
      <c r="T25" s="6">
        <v>6833.3395979999996</v>
      </c>
      <c r="U25" s="6">
        <v>7521.5067099999997</v>
      </c>
      <c r="V25" s="6">
        <v>6599.1209349999999</v>
      </c>
      <c r="W25" s="31">
        <f t="shared" si="5"/>
        <v>0.13332896537315131</v>
      </c>
      <c r="X25" s="31">
        <f t="shared" si="6"/>
        <v>0.18597403899706211</v>
      </c>
      <c r="Y25" s="31">
        <f t="shared" si="7"/>
        <v>8.5655763889070036E-2</v>
      </c>
      <c r="Z25" s="31">
        <f t="shared" si="8"/>
        <v>1.0707777257340956E-2</v>
      </c>
      <c r="AA25" s="31">
        <f t="shared" si="9"/>
        <v>6.8646141779911352E-2</v>
      </c>
      <c r="AB25" s="31">
        <f t="shared" si="10"/>
        <v>7.8315333999889436E-2</v>
      </c>
      <c r="AC25" s="31">
        <f t="shared" si="11"/>
        <v>-0.13560760192822596</v>
      </c>
      <c r="AD25" s="31">
        <f t="shared" si="12"/>
        <v>-0.10706592440747786</v>
      </c>
      <c r="AE25" s="31">
        <f t="shared" si="13"/>
        <v>2.9177870381476234E-2</v>
      </c>
      <c r="AF25" s="31">
        <f t="shared" si="14"/>
        <v>3.3694853429286908E-3</v>
      </c>
      <c r="AG25" s="31">
        <f t="shared" si="15"/>
        <v>3.4393707245699456E-2</v>
      </c>
      <c r="AH25" s="31">
        <f t="shared" si="16"/>
        <v>4.8277199594223941E-2</v>
      </c>
      <c r="AI25" s="31">
        <f t="shared" si="17"/>
        <v>-0.60457607622797771</v>
      </c>
      <c r="AJ25" s="31">
        <f t="shared" si="18"/>
        <v>-0.35726503914367003</v>
      </c>
      <c r="AK25" s="31">
        <f t="shared" si="19"/>
        <v>0.66901723621803177</v>
      </c>
      <c r="AL25" s="31">
        <f t="shared" si="20"/>
        <v>0.11181191711516991</v>
      </c>
      <c r="AM25" s="31">
        <f t="shared" si="21"/>
        <v>-4.8963600606236612E-3</v>
      </c>
      <c r="AN25" s="31">
        <f t="shared" si="22"/>
        <v>0.10070728991742417</v>
      </c>
      <c r="AO25" s="31">
        <f t="shared" si="23"/>
        <v>-0.12263311202975713</v>
      </c>
    </row>
    <row r="26" spans="2:41" x14ac:dyDescent="0.2">
      <c r="B26" s="24" t="s">
        <v>28</v>
      </c>
      <c r="C26" s="6">
        <v>50988.275014289997</v>
      </c>
      <c r="D26" s="6">
        <v>67965.169035390005</v>
      </c>
      <c r="E26" s="6">
        <v>89975.48417833999</v>
      </c>
      <c r="F26" s="6">
        <v>51080.368852129999</v>
      </c>
      <c r="G26" s="6">
        <v>67679.967590140004</v>
      </c>
      <c r="H26" s="6">
        <v>81744.499545440005</v>
      </c>
      <c r="I26" s="6">
        <v>93959.633557489986</v>
      </c>
      <c r="J26" s="49">
        <v>88980.051453119988</v>
      </c>
      <c r="K26" s="6">
        <v>98228.488847600005</v>
      </c>
      <c r="L26" s="6">
        <v>112575.82017458</v>
      </c>
      <c r="M26" s="6">
        <v>134270.12328393001</v>
      </c>
      <c r="N26" s="6">
        <v>129351.96318595001</v>
      </c>
      <c r="O26" s="6">
        <v>115902.09621671999</v>
      </c>
      <c r="P26" s="6">
        <v>108340.86309633999</v>
      </c>
      <c r="Q26" s="6">
        <v>66590.708622990001</v>
      </c>
      <c r="R26" s="6">
        <v>102863.75552573001</v>
      </c>
      <c r="S26" s="6">
        <v>100311.84817899001</v>
      </c>
      <c r="T26" s="6">
        <v>146821.56451018999</v>
      </c>
      <c r="U26" s="6">
        <v>180173.36827091</v>
      </c>
      <c r="V26" s="6">
        <v>163815.31279073001</v>
      </c>
      <c r="W26" s="31">
        <f t="shared" si="5"/>
        <v>0.33295682225652978</v>
      </c>
      <c r="X26" s="31">
        <f t="shared" si="6"/>
        <v>0.32384698596848982</v>
      </c>
      <c r="Y26" s="31">
        <f t="shared" si="7"/>
        <v>-0.43228570183758241</v>
      </c>
      <c r="Z26" s="31">
        <f t="shared" si="8"/>
        <v>0.32497022067447001</v>
      </c>
      <c r="AA26" s="31">
        <f t="shared" si="9"/>
        <v>0.20780937781283759</v>
      </c>
      <c r="AB26" s="31">
        <f t="shared" si="10"/>
        <v>0.14943065380515108</v>
      </c>
      <c r="AC26" s="31">
        <f t="shared" si="11"/>
        <v>-5.2997036236025696E-2</v>
      </c>
      <c r="AD26" s="31">
        <f t="shared" si="12"/>
        <v>0.10393832374161582</v>
      </c>
      <c r="AE26" s="31">
        <f t="shared" si="13"/>
        <v>0.14606079657032756</v>
      </c>
      <c r="AF26" s="31">
        <f t="shared" si="14"/>
        <v>0.19270837268346774</v>
      </c>
      <c r="AG26" s="31">
        <f t="shared" si="15"/>
        <v>-3.6628849201098657E-2</v>
      </c>
      <c r="AH26" s="31">
        <f t="shared" si="16"/>
        <v>-0.10397883911429429</v>
      </c>
      <c r="AI26" s="31">
        <f t="shared" si="17"/>
        <v>-6.5238104979927214E-2</v>
      </c>
      <c r="AJ26" s="31">
        <f t="shared" si="18"/>
        <v>-0.38535925670284243</v>
      </c>
      <c r="AK26" s="31">
        <f t="shared" si="19"/>
        <v>0.54471633735125891</v>
      </c>
      <c r="AL26" s="31">
        <f t="shared" si="20"/>
        <v>-2.4808615373776433E-2</v>
      </c>
      <c r="AM26" s="31">
        <f t="shared" si="21"/>
        <v>0.46365127525325844</v>
      </c>
      <c r="AN26" s="31">
        <f t="shared" si="22"/>
        <v>0.22715875472369906</v>
      </c>
      <c r="AO26" s="31">
        <f t="shared" si="23"/>
        <v>-9.0790640354704855E-2</v>
      </c>
    </row>
    <row r="27" spans="2:41" x14ac:dyDescent="0.2">
      <c r="B27" s="23" t="s">
        <v>32</v>
      </c>
      <c r="C27" s="6">
        <v>192506.52117642999</v>
      </c>
      <c r="D27" s="6">
        <v>237581.21614820001</v>
      </c>
      <c r="E27" s="6">
        <v>259328.1</v>
      </c>
      <c r="F27" s="6">
        <v>288259</v>
      </c>
      <c r="G27" s="6">
        <v>291050.54084423999</v>
      </c>
      <c r="H27" s="6">
        <v>312929.11576488998</v>
      </c>
      <c r="I27" s="6">
        <v>325596.61918689997</v>
      </c>
      <c r="J27" s="49">
        <v>405131</v>
      </c>
      <c r="K27" s="6">
        <v>418410.86464482994</v>
      </c>
      <c r="L27" s="6">
        <v>443608.95312627999</v>
      </c>
      <c r="M27" s="6">
        <v>455649.08495384996</v>
      </c>
      <c r="N27" s="6">
        <v>479186.53769313009</v>
      </c>
      <c r="O27" s="6">
        <v>516325.62054321001</v>
      </c>
      <c r="P27" s="6">
        <v>515203.16434906004</v>
      </c>
      <c r="Q27" s="6">
        <v>429755.79268780001</v>
      </c>
      <c r="R27" s="6">
        <v>550067.1202761</v>
      </c>
      <c r="S27" s="6">
        <v>565918.93319838005</v>
      </c>
      <c r="T27" s="6">
        <v>692132.37112569006</v>
      </c>
      <c r="U27" s="6">
        <v>706261.15127028036</v>
      </c>
      <c r="V27" s="6">
        <v>701826.14903065003</v>
      </c>
      <c r="W27" s="31">
        <f t="shared" si="5"/>
        <v>0.23414632759614196</v>
      </c>
      <c r="X27" s="31">
        <f t="shared" si="6"/>
        <v>9.153452534831108E-2</v>
      </c>
      <c r="Y27" s="31">
        <f t="shared" si="7"/>
        <v>0.11156099165497291</v>
      </c>
      <c r="Z27" s="31">
        <f t="shared" si="8"/>
        <v>9.6841411516725984E-3</v>
      </c>
      <c r="AA27" s="31">
        <f t="shared" si="9"/>
        <v>7.5171050557705898E-2</v>
      </c>
      <c r="AB27" s="31">
        <f t="shared" si="10"/>
        <v>4.0480424427899342E-2</v>
      </c>
      <c r="AC27" s="31">
        <f t="shared" si="11"/>
        <v>0.24427274770763341</v>
      </c>
      <c r="AD27" s="31">
        <f t="shared" si="12"/>
        <v>3.2779186596014531E-2</v>
      </c>
      <c r="AE27" s="31">
        <f t="shared" si="13"/>
        <v>6.0223313041451565E-2</v>
      </c>
      <c r="AF27" s="31">
        <f t="shared" si="14"/>
        <v>2.7141318367716938E-2</v>
      </c>
      <c r="AG27" s="31">
        <f t="shared" si="15"/>
        <v>5.1656973571370335E-2</v>
      </c>
      <c r="AH27" s="31">
        <f t="shared" si="16"/>
        <v>7.7504437058838471E-2</v>
      </c>
      <c r="AI27" s="31">
        <f t="shared" si="17"/>
        <v>-2.1739308480742681E-3</v>
      </c>
      <c r="AJ27" s="31">
        <f t="shared" si="18"/>
        <v>-0.1658517990067464</v>
      </c>
      <c r="AK27" s="31">
        <f t="shared" si="19"/>
        <v>0.27995277698490795</v>
      </c>
      <c r="AL27" s="31">
        <f t="shared" si="20"/>
        <v>2.8817961186851981E-2</v>
      </c>
      <c r="AM27" s="31">
        <f t="shared" si="21"/>
        <v>0.22302388296852849</v>
      </c>
      <c r="AN27" s="31">
        <f t="shared" si="22"/>
        <v>2.0413407512801518E-2</v>
      </c>
      <c r="AO27" s="31">
        <f t="shared" si="23"/>
        <v>-6.2795500384716929E-3</v>
      </c>
    </row>
    <row r="28" spans="2:41" x14ac:dyDescent="0.2">
      <c r="B28" s="23" t="s">
        <v>85</v>
      </c>
      <c r="C28" s="6"/>
      <c r="D28" s="6"/>
      <c r="E28" s="6"/>
      <c r="F28" s="6"/>
      <c r="G28" s="6"/>
      <c r="H28" s="6"/>
      <c r="I28" s="6"/>
      <c r="J28" s="49"/>
      <c r="K28" s="6"/>
      <c r="L28" s="6"/>
      <c r="M28" s="6"/>
      <c r="N28" s="6"/>
      <c r="O28" s="6"/>
      <c r="P28" s="6"/>
      <c r="Q28" s="6"/>
      <c r="R28" s="6"/>
      <c r="S28" s="6">
        <v>8690.1417373199984</v>
      </c>
      <c r="T28" s="6">
        <v>0</v>
      </c>
      <c r="U28" s="6">
        <v>0</v>
      </c>
      <c r="V28" s="6">
        <v>0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>
        <f t="shared" si="21"/>
        <v>-1</v>
      </c>
      <c r="AN28" s="59" t="e">
        <f t="shared" si="22"/>
        <v>#DIV/0!</v>
      </c>
      <c r="AO28" s="59" t="e">
        <f t="shared" si="23"/>
        <v>#DIV/0!</v>
      </c>
    </row>
    <row r="29" spans="2:41" x14ac:dyDescent="0.2">
      <c r="B29" s="23" t="s">
        <v>86</v>
      </c>
      <c r="C29" s="6"/>
      <c r="D29" s="6"/>
      <c r="E29" s="6"/>
      <c r="F29" s="6"/>
      <c r="G29" s="6"/>
      <c r="H29" s="6"/>
      <c r="I29" s="6"/>
      <c r="J29" s="49"/>
      <c r="K29" s="6"/>
      <c r="L29" s="6"/>
      <c r="M29" s="6"/>
      <c r="N29" s="6"/>
      <c r="O29" s="6"/>
      <c r="P29" s="6"/>
      <c r="Q29" s="6"/>
      <c r="R29" s="6"/>
      <c r="S29" s="6">
        <v>173552.38109444</v>
      </c>
      <c r="T29" s="6">
        <v>1023.57601671</v>
      </c>
      <c r="U29" s="6">
        <v>0</v>
      </c>
      <c r="V29" s="6">
        <v>0</v>
      </c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>
        <f t="shared" si="21"/>
        <v>-0.99410220700946184</v>
      </c>
      <c r="AN29" s="31">
        <f t="shared" si="22"/>
        <v>-1</v>
      </c>
      <c r="AO29" s="31" t="e">
        <f t="shared" si="23"/>
        <v>#DIV/0!</v>
      </c>
    </row>
    <row r="30" spans="2:41" x14ac:dyDescent="0.2">
      <c r="B30" s="22" t="s">
        <v>33</v>
      </c>
      <c r="C30" s="6">
        <v>18451.055345560002</v>
      </c>
      <c r="D30" s="6">
        <v>21937.5</v>
      </c>
      <c r="E30" s="6">
        <v>24646.171824900001</v>
      </c>
      <c r="F30" s="6">
        <v>30304.473919609998</v>
      </c>
      <c r="G30" s="6">
        <v>34196.108172690001</v>
      </c>
      <c r="H30" s="6">
        <v>38237.091689419998</v>
      </c>
      <c r="I30" s="6">
        <v>41380.62424266</v>
      </c>
      <c r="J30" s="6">
        <v>32798.794476470001</v>
      </c>
      <c r="K30" s="6">
        <v>35301.59737363</v>
      </c>
      <c r="L30" s="6">
        <v>37593.419193960006</v>
      </c>
      <c r="M30" s="6">
        <v>64177.053587950002</v>
      </c>
      <c r="N30" s="6">
        <v>41454.207314140003</v>
      </c>
      <c r="O30" s="6">
        <v>44603.12814031</v>
      </c>
      <c r="P30" s="6">
        <v>44542.590885930003</v>
      </c>
      <c r="Q30" s="6">
        <v>43286.229073670002</v>
      </c>
      <c r="R30" s="6">
        <v>272003.12028936</v>
      </c>
      <c r="S30" s="6">
        <v>298114.05090626003</v>
      </c>
      <c r="T30" s="6">
        <v>323395.35155659006</v>
      </c>
      <c r="U30" s="6">
        <v>341216.88624437997</v>
      </c>
      <c r="V30" s="6">
        <v>359431.10309042002</v>
      </c>
      <c r="W30" s="31">
        <f t="shared" si="5"/>
        <v>0.18895638158057793</v>
      </c>
      <c r="X30" s="31">
        <f t="shared" si="6"/>
        <v>0.12347221993846147</v>
      </c>
      <c r="Y30" s="31">
        <f t="shared" si="7"/>
        <v>0.22958137819170044</v>
      </c>
      <c r="Z30" s="31">
        <f t="shared" si="8"/>
        <v>0.12841781261088747</v>
      </c>
      <c r="AA30" s="31">
        <f t="shared" si="9"/>
        <v>0.11817086015528644</v>
      </c>
      <c r="AB30" s="31">
        <f t="shared" si="10"/>
        <v>8.2211601728847006E-2</v>
      </c>
      <c r="AC30" s="31">
        <f t="shared" si="11"/>
        <v>-0.20738763426731599</v>
      </c>
      <c r="AD30" s="31">
        <f t="shared" si="12"/>
        <v>7.6307770974799682E-2</v>
      </c>
      <c r="AE30" s="31">
        <f t="shared" si="13"/>
        <v>6.4921193114110487E-2</v>
      </c>
      <c r="AF30" s="31">
        <f t="shared" si="14"/>
        <v>0.70713531687112652</v>
      </c>
      <c r="AG30" s="31">
        <f t="shared" si="15"/>
        <v>-0.35406496564492451</v>
      </c>
      <c r="AH30" s="31">
        <f t="shared" si="16"/>
        <v>7.5961429012680659E-2</v>
      </c>
      <c r="AI30" s="31">
        <f t="shared" si="17"/>
        <v>-1.3572423483295681E-3</v>
      </c>
      <c r="AJ30" s="31">
        <f t="shared" ref="AJ30:AL32" si="33">+Q30/P30-1</f>
        <v>-2.8205853931520086E-2</v>
      </c>
      <c r="AK30" s="31">
        <f t="shared" si="33"/>
        <v>5.2838257365045713</v>
      </c>
      <c r="AL30" s="31">
        <f t="shared" si="33"/>
        <v>9.5994967223621996E-2</v>
      </c>
      <c r="AM30" s="31">
        <f t="shared" si="21"/>
        <v>8.4804123031019252E-2</v>
      </c>
      <c r="AN30" s="31">
        <f t="shared" si="22"/>
        <v>5.5107578392855627E-2</v>
      </c>
      <c r="AO30" s="31">
        <f t="shared" si="23"/>
        <v>5.3380174253729651E-2</v>
      </c>
    </row>
    <row r="31" spans="2:41" x14ac:dyDescent="0.2">
      <c r="B31" s="22" t="s">
        <v>12</v>
      </c>
      <c r="C31" s="6">
        <v>5361.6497196399996</v>
      </c>
      <c r="D31" s="6">
        <v>12057.36422985</v>
      </c>
      <c r="E31" s="6">
        <v>6299.7654789199996</v>
      </c>
      <c r="F31" s="6">
        <v>7982.5200774400018</v>
      </c>
      <c r="G31" s="6">
        <v>10250.37773681</v>
      </c>
      <c r="H31" s="6">
        <v>11935.688583370002</v>
      </c>
      <c r="I31" s="6">
        <v>9466.9920780899993</v>
      </c>
      <c r="J31" s="6">
        <v>7695.8764954100006</v>
      </c>
      <c r="K31" s="6">
        <v>12180.22723083</v>
      </c>
      <c r="L31" s="6">
        <v>22921.490529480001</v>
      </c>
      <c r="M31" s="6">
        <v>22966.490542489999</v>
      </c>
      <c r="N31" s="6">
        <v>54763.056741860004</v>
      </c>
      <c r="O31" s="6">
        <v>40917.51768166</v>
      </c>
      <c r="P31" s="6">
        <v>55237.256181569996</v>
      </c>
      <c r="Q31" s="6">
        <v>32859.236901969998</v>
      </c>
      <c r="R31" s="6">
        <v>82885.407175580011</v>
      </c>
      <c r="S31" s="6">
        <v>218166.54307367001</v>
      </c>
      <c r="T31" s="6">
        <v>104694.52147829</v>
      </c>
      <c r="U31" s="6">
        <v>123007.57495605999</v>
      </c>
      <c r="V31" s="6">
        <v>112691.73959690001</v>
      </c>
      <c r="W31" s="31">
        <f t="shared" si="5"/>
        <v>1.2488161033129881</v>
      </c>
      <c r="X31" s="31">
        <f t="shared" si="6"/>
        <v>-0.47751719539798854</v>
      </c>
      <c r="Y31" s="31">
        <f t="shared" si="7"/>
        <v>0.26711384799176452</v>
      </c>
      <c r="Z31" s="31">
        <f t="shared" si="8"/>
        <v>0.28410296965983961</v>
      </c>
      <c r="AA31" s="31">
        <f t="shared" si="9"/>
        <v>0.16441451133141216</v>
      </c>
      <c r="AB31" s="31">
        <f t="shared" si="10"/>
        <v>-0.2068331867102865</v>
      </c>
      <c r="AC31" s="31">
        <f t="shared" si="11"/>
        <v>-0.18708324334389093</v>
      </c>
      <c r="AD31" s="31">
        <f t="shared" si="12"/>
        <v>0.58269525740109906</v>
      </c>
      <c r="AE31" s="31">
        <f t="shared" si="13"/>
        <v>0.8818606660688757</v>
      </c>
      <c r="AF31" s="31">
        <f t="shared" si="14"/>
        <v>1.9632236809434822E-3</v>
      </c>
      <c r="AG31" s="31">
        <f t="shared" si="15"/>
        <v>1.3844764893680033</v>
      </c>
      <c r="AH31" s="31">
        <f t="shared" si="16"/>
        <v>-0.25282626434577193</v>
      </c>
      <c r="AI31" s="31">
        <f t="shared" si="17"/>
        <v>0.34996596351025389</v>
      </c>
      <c r="AJ31" s="31">
        <f t="shared" si="33"/>
        <v>-0.40512546832596763</v>
      </c>
      <c r="AK31" s="31">
        <f t="shared" si="33"/>
        <v>1.5224385892726198</v>
      </c>
      <c r="AL31" s="31">
        <f t="shared" si="33"/>
        <v>1.6321466046673052</v>
      </c>
      <c r="AM31" s="31">
        <f t="shared" si="21"/>
        <v>-0.52011651281041305</v>
      </c>
      <c r="AN31" s="31">
        <f t="shared" si="22"/>
        <v>0.17491892812717502</v>
      </c>
      <c r="AO31" s="31">
        <f t="shared" si="23"/>
        <v>-8.3863415426610466E-2</v>
      </c>
    </row>
    <row r="32" spans="2:41" x14ac:dyDescent="0.2">
      <c r="B32" s="22" t="s">
        <v>34</v>
      </c>
      <c r="C32" s="6">
        <v>6889.3511875499998</v>
      </c>
      <c r="D32" s="6">
        <v>12687.165628909999</v>
      </c>
      <c r="E32" s="6">
        <v>15540.493753240002</v>
      </c>
      <c r="F32" s="6">
        <v>13781.594663659998</v>
      </c>
      <c r="G32" s="6">
        <v>79425.188878570014</v>
      </c>
      <c r="H32" s="6">
        <v>81191.149266929991</v>
      </c>
      <c r="I32" s="6">
        <v>91247.945417409996</v>
      </c>
      <c r="J32" s="6">
        <v>96409.145090539983</v>
      </c>
      <c r="K32" s="6">
        <v>103500.94721448001</v>
      </c>
      <c r="L32" s="6">
        <v>109176.97718737999</v>
      </c>
      <c r="M32" s="6">
        <v>113176.24841915001</v>
      </c>
      <c r="N32" s="6">
        <v>111710.42497299</v>
      </c>
      <c r="O32" s="6">
        <v>132685.02258518001</v>
      </c>
      <c r="P32" s="6">
        <v>107751.97276279</v>
      </c>
      <c r="Q32" s="6">
        <v>147189.12069756998</v>
      </c>
      <c r="R32" s="6">
        <v>124810.23590906999</v>
      </c>
      <c r="S32" s="6">
        <v>8031.9497952499987</v>
      </c>
      <c r="T32" s="6">
        <v>12396.02772156</v>
      </c>
      <c r="U32" s="6">
        <v>13255.32985308</v>
      </c>
      <c r="V32" s="6">
        <v>13233.857163589999</v>
      </c>
      <c r="W32" s="31">
        <f t="shared" si="5"/>
        <v>0.84156174994206179</v>
      </c>
      <c r="X32" s="31">
        <f t="shared" si="6"/>
        <v>0.22489878415618536</v>
      </c>
      <c r="Y32" s="31">
        <f t="shared" si="7"/>
        <v>-0.11318167347245933</v>
      </c>
      <c r="Z32" s="31">
        <f t="shared" si="8"/>
        <v>4.7631348778528757</v>
      </c>
      <c r="AA32" s="31">
        <f t="shared" si="9"/>
        <v>2.2234261111545806E-2</v>
      </c>
      <c r="AB32" s="31">
        <f t="shared" si="10"/>
        <v>0.12386567059688414</v>
      </c>
      <c r="AC32" s="31">
        <f t="shared" si="11"/>
        <v>5.6562365865009845E-2</v>
      </c>
      <c r="AD32" s="31">
        <f t="shared" si="12"/>
        <v>7.3559433778610517E-2</v>
      </c>
      <c r="AE32" s="31">
        <f t="shared" si="13"/>
        <v>5.4840367413621971E-2</v>
      </c>
      <c r="AF32" s="31">
        <f t="shared" si="14"/>
        <v>3.6631085919388351E-2</v>
      </c>
      <c r="AG32" s="31">
        <f t="shared" si="15"/>
        <v>-1.2951687890654484E-2</v>
      </c>
      <c r="AH32" s="31">
        <f t="shared" si="16"/>
        <v>0.18775864130193187</v>
      </c>
      <c r="AI32" s="31">
        <f t="shared" si="17"/>
        <v>-0.18791156180708868</v>
      </c>
      <c r="AJ32" s="31">
        <f t="shared" si="33"/>
        <v>0.36599931234297367</v>
      </c>
      <c r="AK32" s="31">
        <f t="shared" si="33"/>
        <v>-0.15204170445777687</v>
      </c>
      <c r="AL32" s="31">
        <f t="shared" si="33"/>
        <v>-0.93564670608345257</v>
      </c>
      <c r="AM32" s="31">
        <f t="shared" si="21"/>
        <v>0.54333979140293764</v>
      </c>
      <c r="AN32" s="31">
        <f t="shared" si="22"/>
        <v>6.9320765556650343E-2</v>
      </c>
      <c r="AO32" s="31">
        <f t="shared" si="23"/>
        <v>-1.6199287175800992E-3</v>
      </c>
    </row>
    <row r="33" spans="1:41" x14ac:dyDescent="0.2">
      <c r="C33" s="44"/>
      <c r="D33" s="44"/>
      <c r="E33" s="44"/>
      <c r="F33" s="45" t="s">
        <v>47</v>
      </c>
      <c r="G33" s="44" t="s">
        <v>47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15" x14ac:dyDescent="0.25">
      <c r="B34" s="15" t="s">
        <v>11</v>
      </c>
      <c r="C34" s="46">
        <v>90</v>
      </c>
      <c r="D34" s="46">
        <v>154.23203799999999</v>
      </c>
      <c r="E34" s="46">
        <v>311.8</v>
      </c>
      <c r="F34" s="51">
        <v>0</v>
      </c>
      <c r="G34" s="51">
        <v>148.99488263000001</v>
      </c>
      <c r="H34" s="51">
        <v>78.5</v>
      </c>
      <c r="I34" s="51">
        <v>83</v>
      </c>
      <c r="J34" s="50">
        <v>0</v>
      </c>
      <c r="K34" s="51">
        <v>780.5</v>
      </c>
      <c r="L34" s="51">
        <v>839.30725661999986</v>
      </c>
      <c r="M34" s="50">
        <v>4479.4873979900003</v>
      </c>
      <c r="N34" s="50">
        <v>6334.7807378300004</v>
      </c>
      <c r="O34" s="50">
        <v>1470.1682214900002</v>
      </c>
      <c r="P34" s="50">
        <v>54375.675000000003</v>
      </c>
      <c r="Q34" s="50">
        <v>75000</v>
      </c>
      <c r="R34" s="50">
        <v>6534.9489450000001</v>
      </c>
      <c r="S34" s="50">
        <v>7610.1350899999998</v>
      </c>
      <c r="T34" s="50">
        <v>7350.7446680000003</v>
      </c>
      <c r="U34" s="50">
        <v>7583.4363540000004</v>
      </c>
      <c r="V34" s="50">
        <v>16361.10381314</v>
      </c>
      <c r="W34" s="31">
        <f t="shared" si="5"/>
        <v>0.71368931111111089</v>
      </c>
      <c r="X34" s="31">
        <f t="shared" ref="X34:AO34" si="34">+E34/D34-1</f>
        <v>1.02162925448732</v>
      </c>
      <c r="Y34" s="31">
        <f t="shared" si="34"/>
        <v>-1</v>
      </c>
      <c r="Z34" s="59" t="e">
        <f t="shared" si="34"/>
        <v>#DIV/0!</v>
      </c>
      <c r="AA34" s="31">
        <f t="shared" si="34"/>
        <v>-0.47313626740497139</v>
      </c>
      <c r="AB34" s="31">
        <f t="shared" si="34"/>
        <v>5.7324840764331197E-2</v>
      </c>
      <c r="AC34" s="31">
        <f t="shared" si="34"/>
        <v>-1</v>
      </c>
      <c r="AD34" s="59" t="e">
        <f t="shared" si="34"/>
        <v>#DIV/0!</v>
      </c>
      <c r="AE34" s="31">
        <f t="shared" si="34"/>
        <v>7.5345620269058111E-2</v>
      </c>
      <c r="AF34" s="31">
        <f t="shared" si="34"/>
        <v>4.3371245901405429</v>
      </c>
      <c r="AG34" s="31">
        <f t="shared" si="34"/>
        <v>0.41417536762632534</v>
      </c>
      <c r="AH34" s="31">
        <f t="shared" si="34"/>
        <v>-0.76792121427179638</v>
      </c>
      <c r="AI34" s="31">
        <f t="shared" si="34"/>
        <v>35.986022555222164</v>
      </c>
      <c r="AJ34" s="31">
        <f t="shared" si="34"/>
        <v>0.37929322256689213</v>
      </c>
      <c r="AK34" s="31">
        <f t="shared" si="34"/>
        <v>-0.91286734739999997</v>
      </c>
      <c r="AL34" s="31">
        <f t="shared" si="34"/>
        <v>0.16452862203654139</v>
      </c>
      <c r="AM34" s="31">
        <f t="shared" si="34"/>
        <v>-3.4084864320062858E-2</v>
      </c>
      <c r="AN34" s="31">
        <f t="shared" si="34"/>
        <v>3.1655525597695799E-2</v>
      </c>
      <c r="AO34" s="31">
        <f t="shared" si="34"/>
        <v>1.1574788854804701</v>
      </c>
    </row>
    <row r="35" spans="1:4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x14ac:dyDescent="0.2">
      <c r="A36" s="7">
        <v>2</v>
      </c>
      <c r="B36" s="3" t="s">
        <v>62</v>
      </c>
      <c r="C36" s="21">
        <f t="shared" ref="C36:K36" si="35">+C40+C56</f>
        <v>930937.6100000001</v>
      </c>
      <c r="D36" s="21">
        <f t="shared" si="35"/>
        <v>1096326.7</v>
      </c>
      <c r="E36" s="37">
        <f t="shared" si="35"/>
        <v>1283183.6779698499</v>
      </c>
      <c r="F36" s="21">
        <f t="shared" si="35"/>
        <v>1570427.58274498</v>
      </c>
      <c r="G36" s="21">
        <f t="shared" si="35"/>
        <v>1943336.2999999998</v>
      </c>
      <c r="H36" s="21">
        <f t="shared" si="35"/>
        <v>2145235.9982204898</v>
      </c>
      <c r="I36" s="21">
        <f t="shared" si="35"/>
        <v>2352227.6498323996</v>
      </c>
      <c r="J36" s="21">
        <f t="shared" si="35"/>
        <v>2678625.3640202601</v>
      </c>
      <c r="K36" s="21">
        <f t="shared" si="35"/>
        <v>2941101.1307430188</v>
      </c>
      <c r="L36" s="21">
        <f t="shared" ref="L36:V36" si="36">+L40+L56+L65</f>
        <v>3189681.9416353507</v>
      </c>
      <c r="M36" s="21">
        <f t="shared" si="36"/>
        <v>3293089.7304754299</v>
      </c>
      <c r="N36" s="21">
        <f t="shared" si="36"/>
        <v>3592092.37315783</v>
      </c>
      <c r="O36" s="21">
        <f t="shared" si="36"/>
        <v>3851986.0154328109</v>
      </c>
      <c r="P36" s="21">
        <f t="shared" si="36"/>
        <v>4278255.8459035996</v>
      </c>
      <c r="Q36" s="21">
        <f t="shared" si="36"/>
        <v>4263410.22292687</v>
      </c>
      <c r="R36" s="21">
        <f t="shared" si="36"/>
        <v>4562891.2062376495</v>
      </c>
      <c r="S36" s="21">
        <f t="shared" si="36"/>
        <v>4616682.0596126392</v>
      </c>
      <c r="T36" s="21">
        <f t="shared" si="36"/>
        <v>4813611.2617656095</v>
      </c>
      <c r="U36" s="21">
        <f t="shared" si="36"/>
        <v>5195414.0534924502</v>
      </c>
      <c r="V36" s="21">
        <f t="shared" si="36"/>
        <v>5043400.1321605006</v>
      </c>
      <c r="W36" s="42">
        <f t="shared" si="5"/>
        <v>0.17765861881979372</v>
      </c>
      <c r="X36" s="42">
        <f t="shared" ref="X36:AO36" si="37">+E36/D36-1</f>
        <v>0.17043913823301926</v>
      </c>
      <c r="Y36" s="42">
        <f t="shared" si="37"/>
        <v>0.22385252377086373</v>
      </c>
      <c r="Z36" s="42">
        <f t="shared" si="37"/>
        <v>0.23745680561927318</v>
      </c>
      <c r="AA36" s="42">
        <f t="shared" si="37"/>
        <v>0.10389333962448499</v>
      </c>
      <c r="AB36" s="42">
        <f t="shared" si="37"/>
        <v>9.6488988523226737E-2</v>
      </c>
      <c r="AC36" s="42">
        <f t="shared" si="37"/>
        <v>0.13876110767217487</v>
      </c>
      <c r="AD36" s="42">
        <f t="shared" si="37"/>
        <v>9.7988979813443455E-2</v>
      </c>
      <c r="AE36" s="42">
        <f t="shared" si="37"/>
        <v>8.4519640720253753E-2</v>
      </c>
      <c r="AF36" s="42">
        <f t="shared" si="37"/>
        <v>3.2419467123127044E-2</v>
      </c>
      <c r="AG36" s="42">
        <f t="shared" si="37"/>
        <v>9.0796992233561857E-2</v>
      </c>
      <c r="AH36" s="42">
        <f t="shared" si="37"/>
        <v>7.2351603265287556E-2</v>
      </c>
      <c r="AI36" s="42">
        <f t="shared" si="37"/>
        <v>0.11066235151502557</v>
      </c>
      <c r="AJ36" s="42">
        <f t="shared" si="37"/>
        <v>-3.4700175752565565E-3</v>
      </c>
      <c r="AK36" s="42">
        <f t="shared" si="37"/>
        <v>7.0244468078697553E-2</v>
      </c>
      <c r="AL36" s="42">
        <f t="shared" si="37"/>
        <v>1.1788765268270218E-2</v>
      </c>
      <c r="AM36" s="42">
        <f t="shared" si="37"/>
        <v>4.2656002646518365E-2</v>
      </c>
      <c r="AN36" s="42">
        <f t="shared" si="37"/>
        <v>7.9317329747728094E-2</v>
      </c>
      <c r="AO36" s="42">
        <f t="shared" si="37"/>
        <v>-2.9259250517244761E-2</v>
      </c>
    </row>
    <row r="37" spans="1:41" x14ac:dyDescent="0.2">
      <c r="A37" s="7"/>
      <c r="B37" s="16"/>
      <c r="C37" s="20"/>
      <c r="D37" s="20"/>
      <c r="E37" s="38"/>
      <c r="F37" s="43"/>
      <c r="G37" s="43"/>
      <c r="H37" s="16"/>
      <c r="I37" s="16"/>
      <c r="J37" s="43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x14ac:dyDescent="0.2">
      <c r="A38" s="7">
        <v>3</v>
      </c>
      <c r="B38" s="3" t="s">
        <v>16</v>
      </c>
      <c r="C38" s="5">
        <f>+C36-C46</f>
        <v>663541.6100000001</v>
      </c>
      <c r="D38" s="5">
        <f t="shared" ref="D38:O38" si="38">+D36-D46</f>
        <v>827735.6</v>
      </c>
      <c r="E38" s="39">
        <f t="shared" si="38"/>
        <v>1069390.6779698499</v>
      </c>
      <c r="F38" s="5">
        <f t="shared" si="38"/>
        <v>1357435.9827449799</v>
      </c>
      <c r="G38" s="5">
        <f t="shared" si="38"/>
        <v>1710376.9</v>
      </c>
      <c r="H38" s="5">
        <f t="shared" si="38"/>
        <v>1872757.2763532999</v>
      </c>
      <c r="I38" s="5">
        <f t="shared" si="38"/>
        <v>2065121.5223495795</v>
      </c>
      <c r="J38" s="5">
        <f t="shared" si="38"/>
        <v>2302033.7776313801</v>
      </c>
      <c r="K38" s="5">
        <f t="shared" si="38"/>
        <v>2562902.5090567488</v>
      </c>
      <c r="L38" s="5">
        <f t="shared" si="38"/>
        <v>2760688.5537102506</v>
      </c>
      <c r="M38" s="5">
        <f t="shared" si="38"/>
        <v>2832204.6017682599</v>
      </c>
      <c r="N38" s="5">
        <f t="shared" si="38"/>
        <v>3032724.3634353201</v>
      </c>
      <c r="O38" s="5">
        <f t="shared" si="38"/>
        <v>3195085.6398774209</v>
      </c>
      <c r="P38" s="5">
        <f t="shared" ref="P38:V38" si="39">+P36-P46</f>
        <v>3458182.9711102196</v>
      </c>
      <c r="Q38" s="5">
        <f t="shared" si="39"/>
        <v>3350929.2097319299</v>
      </c>
      <c r="R38" s="5">
        <f t="shared" si="39"/>
        <v>3493233.0035408894</v>
      </c>
      <c r="S38" s="5">
        <f t="shared" si="39"/>
        <v>3412701.2920527393</v>
      </c>
      <c r="T38" s="5">
        <f t="shared" si="39"/>
        <v>3555387.4358457997</v>
      </c>
      <c r="U38" s="5">
        <f t="shared" si="39"/>
        <v>3821040.8238399001</v>
      </c>
      <c r="V38" s="5">
        <f t="shared" si="39"/>
        <v>3774231.069909161</v>
      </c>
      <c r="W38" s="32">
        <f t="shared" si="5"/>
        <v>0.24745093227838399</v>
      </c>
      <c r="X38" s="32">
        <f t="shared" ref="X38:AO38" si="40">+E38/D38-1</f>
        <v>0.29194718454763802</v>
      </c>
      <c r="Y38" s="32">
        <f t="shared" si="40"/>
        <v>0.26935460604721206</v>
      </c>
      <c r="Z38" s="32">
        <f t="shared" si="40"/>
        <v>0.26000557060621743</v>
      </c>
      <c r="AA38" s="32">
        <f t="shared" si="40"/>
        <v>9.4938359114473458E-2</v>
      </c>
      <c r="AB38" s="32">
        <f t="shared" si="40"/>
        <v>0.1027171264665212</v>
      </c>
      <c r="AC38" s="32">
        <f t="shared" si="40"/>
        <v>0.11472073324394749</v>
      </c>
      <c r="AD38" s="32">
        <f t="shared" si="40"/>
        <v>0.11332098336705676</v>
      </c>
      <c r="AE38" s="32">
        <f t="shared" si="40"/>
        <v>7.717267588391219E-2</v>
      </c>
      <c r="AF38" s="32">
        <f t="shared" si="40"/>
        <v>2.5905148902759967E-2</v>
      </c>
      <c r="AG38" s="32">
        <f t="shared" si="40"/>
        <v>7.0799885552713215E-2</v>
      </c>
      <c r="AH38" s="32">
        <f t="shared" si="40"/>
        <v>5.3536443469655026E-2</v>
      </c>
      <c r="AI38" s="32">
        <f t="shared" si="40"/>
        <v>8.234437535855621E-2</v>
      </c>
      <c r="AJ38" s="32">
        <f t="shared" si="40"/>
        <v>-3.1014484275207921E-2</v>
      </c>
      <c r="AK38" s="32">
        <f t="shared" si="40"/>
        <v>4.2466965102000431E-2</v>
      </c>
      <c r="AL38" s="32">
        <f t="shared" si="40"/>
        <v>-2.3053632954492254E-2</v>
      </c>
      <c r="AM38" s="32">
        <f t="shared" si="40"/>
        <v>4.1810323137667416E-2</v>
      </c>
      <c r="AN38" s="32">
        <f t="shared" si="40"/>
        <v>7.471854834040137E-2</v>
      </c>
      <c r="AO38" s="32">
        <f t="shared" si="40"/>
        <v>-1.2250524422217079E-2</v>
      </c>
    </row>
    <row r="39" spans="1:41" x14ac:dyDescent="0.2">
      <c r="C39" s="6"/>
      <c r="D39" s="6"/>
      <c r="E39" s="38"/>
      <c r="F39" s="6"/>
      <c r="G39" s="6"/>
      <c r="J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x14ac:dyDescent="0.2">
      <c r="B40" s="16" t="s">
        <v>1</v>
      </c>
      <c r="C40" s="20">
        <f>+C43+C44+C45+C46+C50</f>
        <v>893642.71000000008</v>
      </c>
      <c r="D40" s="20">
        <f>+D43+D44+D45+D46+D50</f>
        <v>1023187.8</v>
      </c>
      <c r="E40" s="40">
        <f t="shared" ref="E40:O40" si="41">+E43+E44+E45+E46+E50</f>
        <v>1144423.27796985</v>
      </c>
      <c r="F40" s="20">
        <f t="shared" si="41"/>
        <v>1426631.28274498</v>
      </c>
      <c r="G40" s="20">
        <f t="shared" si="41"/>
        <v>1787904.5999999999</v>
      </c>
      <c r="H40" s="20">
        <f t="shared" si="41"/>
        <v>2008717.1061526199</v>
      </c>
      <c r="I40" s="20">
        <f t="shared" si="41"/>
        <v>2200944.8533254596</v>
      </c>
      <c r="J40" s="20">
        <f t="shared" si="41"/>
        <v>2512588.4228858799</v>
      </c>
      <c r="K40" s="20">
        <f t="shared" si="41"/>
        <v>2692575.2749535488</v>
      </c>
      <c r="L40" s="20">
        <f t="shared" si="41"/>
        <v>2948305.4247624306</v>
      </c>
      <c r="M40" s="20">
        <f t="shared" si="41"/>
        <v>3098370.6088646199</v>
      </c>
      <c r="N40" s="20">
        <f t="shared" si="41"/>
        <v>3333623.6888017599</v>
      </c>
      <c r="O40" s="20">
        <f t="shared" si="41"/>
        <v>3617755.124943241</v>
      </c>
      <c r="P40" s="20">
        <f t="shared" ref="P40:V40" si="42">+P43+P44+P45+P46+P50</f>
        <v>3939320.2224623598</v>
      </c>
      <c r="Q40" s="20">
        <f t="shared" si="42"/>
        <v>4058409.3787065204</v>
      </c>
      <c r="R40" s="20">
        <f t="shared" si="42"/>
        <v>4266229.7278850097</v>
      </c>
      <c r="S40" s="20">
        <f t="shared" si="42"/>
        <v>4354126.9827912794</v>
      </c>
      <c r="T40" s="20">
        <f t="shared" si="42"/>
        <v>4517255.8991711801</v>
      </c>
      <c r="U40" s="20">
        <f t="shared" si="42"/>
        <v>4828696.0979506997</v>
      </c>
      <c r="V40" s="20">
        <f t="shared" si="42"/>
        <v>4716885.9976761499</v>
      </c>
      <c r="W40" s="29">
        <f t="shared" si="5"/>
        <v>0.14496295728748243</v>
      </c>
      <c r="X40" s="29">
        <f t="shared" ref="X40:AO40" si="43">+E40/D40-1</f>
        <v>0.11848800187986019</v>
      </c>
      <c r="Y40" s="29">
        <f t="shared" si="43"/>
        <v>0.2465940794875765</v>
      </c>
      <c r="Z40" s="29">
        <f t="shared" si="43"/>
        <v>0.25323524138619358</v>
      </c>
      <c r="AA40" s="29">
        <f t="shared" si="43"/>
        <v>0.12350351699560491</v>
      </c>
      <c r="AB40" s="29">
        <f t="shared" si="43"/>
        <v>9.5696774117198347E-2</v>
      </c>
      <c r="AC40" s="29">
        <f t="shared" si="43"/>
        <v>0.14159535578074589</v>
      </c>
      <c r="AD40" s="29">
        <f t="shared" si="43"/>
        <v>7.1634037006722107E-2</v>
      </c>
      <c r="AE40" s="29">
        <f t="shared" si="43"/>
        <v>9.4976044750798572E-2</v>
      </c>
      <c r="AF40" s="29">
        <f t="shared" si="43"/>
        <v>5.089879184219237E-2</v>
      </c>
      <c r="AG40" s="29">
        <f t="shared" si="43"/>
        <v>7.5927998821079479E-2</v>
      </c>
      <c r="AH40" s="29">
        <f t="shared" si="43"/>
        <v>8.523200656868668E-2</v>
      </c>
      <c r="AI40" s="29">
        <f t="shared" si="43"/>
        <v>8.8885257960670705E-2</v>
      </c>
      <c r="AJ40" s="29">
        <f t="shared" si="43"/>
        <v>3.0230889980739084E-2</v>
      </c>
      <c r="AK40" s="29">
        <f t="shared" si="43"/>
        <v>5.120734006501948E-2</v>
      </c>
      <c r="AL40" s="29">
        <f t="shared" si="43"/>
        <v>2.0603029023906982E-2</v>
      </c>
      <c r="AM40" s="29">
        <f t="shared" si="43"/>
        <v>3.7465355747462459E-2</v>
      </c>
      <c r="AN40" s="29">
        <f t="shared" si="43"/>
        <v>6.8944555219167869E-2</v>
      </c>
      <c r="AO40" s="29">
        <f t="shared" si="43"/>
        <v>-2.3155340076589592E-2</v>
      </c>
    </row>
    <row r="41" spans="1:41" x14ac:dyDescent="0.2">
      <c r="C41" s="19"/>
      <c r="D41" s="6"/>
      <c r="E41" s="38"/>
      <c r="F41" s="6"/>
      <c r="G41" s="6"/>
      <c r="J41" s="6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x14ac:dyDescent="0.2">
      <c r="B42" s="25" t="s">
        <v>41</v>
      </c>
      <c r="C42" s="5">
        <f t="shared" ref="C42:V42" si="44">SUM(C43:C44)</f>
        <v>339309.91000000003</v>
      </c>
      <c r="D42" s="5">
        <f t="shared" si="44"/>
        <v>377969.19999999995</v>
      </c>
      <c r="E42" s="39">
        <f t="shared" si="44"/>
        <v>459291</v>
      </c>
      <c r="F42" s="5">
        <f t="shared" si="44"/>
        <v>612482.19999999995</v>
      </c>
      <c r="G42" s="5">
        <f t="shared" si="44"/>
        <v>752454.90000000014</v>
      </c>
      <c r="H42" s="5">
        <f t="shared" si="44"/>
        <v>849171.24690393999</v>
      </c>
      <c r="I42" s="5">
        <f t="shared" si="44"/>
        <v>923657.71063198987</v>
      </c>
      <c r="J42" s="5">
        <f t="shared" si="44"/>
        <v>1020335.9530658301</v>
      </c>
      <c r="K42" s="5">
        <f t="shared" si="44"/>
        <v>1098741.9160080799</v>
      </c>
      <c r="L42" s="5">
        <f t="shared" si="44"/>
        <v>1204420.7327701901</v>
      </c>
      <c r="M42" s="5">
        <f t="shared" si="44"/>
        <v>1239906.0330476598</v>
      </c>
      <c r="N42" s="5">
        <f t="shared" si="44"/>
        <v>1263700.5832209401</v>
      </c>
      <c r="O42" s="5">
        <f t="shared" si="44"/>
        <v>1343245.8230713103</v>
      </c>
      <c r="P42" s="5">
        <f t="shared" si="44"/>
        <v>1382901.62218722</v>
      </c>
      <c r="Q42" s="5">
        <f t="shared" si="44"/>
        <v>1414121.9488598602</v>
      </c>
      <c r="R42" s="5">
        <f t="shared" si="44"/>
        <v>1489523.8222300801</v>
      </c>
      <c r="S42" s="5">
        <f t="shared" si="44"/>
        <v>1488708.8367943598</v>
      </c>
      <c r="T42" s="5">
        <f t="shared" si="44"/>
        <v>1509721.2387368702</v>
      </c>
      <c r="U42" s="5">
        <f t="shared" si="44"/>
        <v>1626767.8091505202</v>
      </c>
      <c r="V42" s="5">
        <f t="shared" si="44"/>
        <v>1635382.1289461902</v>
      </c>
      <c r="W42" s="32">
        <f t="shared" si="5"/>
        <v>0.11393504539846755</v>
      </c>
      <c r="X42" s="32">
        <f t="shared" ref="X42:AG48" si="45">+E42/D42-1</f>
        <v>0.21515456814999756</v>
      </c>
      <c r="Y42" s="32">
        <f t="shared" si="45"/>
        <v>0.3335384320615904</v>
      </c>
      <c r="Z42" s="32">
        <f t="shared" si="45"/>
        <v>0.22853349860616379</v>
      </c>
      <c r="AA42" s="32">
        <f t="shared" si="45"/>
        <v>0.12853441037321955</v>
      </c>
      <c r="AB42" s="32">
        <f t="shared" si="45"/>
        <v>8.771665785861904E-2</v>
      </c>
      <c r="AC42" s="32">
        <f t="shared" si="45"/>
        <v>0.10466890637191839</v>
      </c>
      <c r="AD42" s="32">
        <f t="shared" si="45"/>
        <v>7.6843281574721978E-2</v>
      </c>
      <c r="AE42" s="32">
        <f t="shared" si="45"/>
        <v>9.6181655785063436E-2</v>
      </c>
      <c r="AF42" s="32">
        <f t="shared" si="45"/>
        <v>2.9462545198680523E-2</v>
      </c>
      <c r="AG42" s="32">
        <f t="shared" si="45"/>
        <v>1.9190607625961587E-2</v>
      </c>
      <c r="AH42" s="32">
        <f t="shared" ref="AH42:AO48" si="46">+O42/N42-1</f>
        <v>6.2946271376740137E-2</v>
      </c>
      <c r="AI42" s="32">
        <f t="shared" si="46"/>
        <v>2.9522369200625898E-2</v>
      </c>
      <c r="AJ42" s="32">
        <f t="shared" si="46"/>
        <v>2.2575956359977001E-2</v>
      </c>
      <c r="AK42" s="32">
        <f t="shared" si="46"/>
        <v>5.3320630113274925E-2</v>
      </c>
      <c r="AL42" s="32">
        <f t="shared" si="46"/>
        <v>-5.4714494898111532E-4</v>
      </c>
      <c r="AM42" s="32">
        <f t="shared" si="46"/>
        <v>1.4114514150232571E-2</v>
      </c>
      <c r="AN42" s="32">
        <f t="shared" si="46"/>
        <v>7.7528597604931804E-2</v>
      </c>
      <c r="AO42" s="32">
        <f t="shared" si="46"/>
        <v>5.2953591454261151E-3</v>
      </c>
    </row>
    <row r="43" spans="1:41" x14ac:dyDescent="0.2">
      <c r="B43" s="25" t="s">
        <v>2</v>
      </c>
      <c r="C43" s="6">
        <v>282104.21000000002</v>
      </c>
      <c r="D43" s="6">
        <v>315550.09999999998</v>
      </c>
      <c r="E43" s="41">
        <v>383313.1</v>
      </c>
      <c r="F43" s="27">
        <v>510508.3</v>
      </c>
      <c r="G43" s="6">
        <v>628468.20000000007</v>
      </c>
      <c r="H43" s="6">
        <v>706191.30507667002</v>
      </c>
      <c r="I43" s="6">
        <v>769295.42507143994</v>
      </c>
      <c r="J43" s="27">
        <v>848093.85534462007</v>
      </c>
      <c r="K43" s="6">
        <v>915638.75507273001</v>
      </c>
      <c r="L43" s="6">
        <v>993242.77581765014</v>
      </c>
      <c r="M43" s="6">
        <v>1031340.5674302399</v>
      </c>
      <c r="N43" s="6">
        <v>1048148.96861189</v>
      </c>
      <c r="O43" s="6">
        <v>1106474.5757456901</v>
      </c>
      <c r="P43" s="6">
        <v>1136156.8993510499</v>
      </c>
      <c r="Q43" s="6">
        <v>1163728.9784965701</v>
      </c>
      <c r="R43" s="6">
        <v>1224919.5161691001</v>
      </c>
      <c r="S43" s="6">
        <v>1216658.2600135799</v>
      </c>
      <c r="T43" s="6">
        <v>1213055.2311801303</v>
      </c>
      <c r="U43" s="6">
        <v>1332662.5132823302</v>
      </c>
      <c r="V43" s="6">
        <v>1330183.1425904403</v>
      </c>
      <c r="W43" s="31">
        <f t="shared" si="5"/>
        <v>0.11855863476833606</v>
      </c>
      <c r="X43" s="31">
        <f t="shared" si="45"/>
        <v>0.2147456140879056</v>
      </c>
      <c r="Y43" s="31">
        <f t="shared" si="45"/>
        <v>0.33183108012744689</v>
      </c>
      <c r="Z43" s="31">
        <f t="shared" si="45"/>
        <v>0.23106362815256887</v>
      </c>
      <c r="AA43" s="31">
        <f t="shared" si="45"/>
        <v>0.12367070454267992</v>
      </c>
      <c r="AB43" s="31">
        <f t="shared" si="45"/>
        <v>8.9358392748716708E-2</v>
      </c>
      <c r="AC43" s="31">
        <f t="shared" si="45"/>
        <v>0.1024293499026887</v>
      </c>
      <c r="AD43" s="31">
        <f t="shared" si="45"/>
        <v>7.9643189609790666E-2</v>
      </c>
      <c r="AE43" s="31">
        <f t="shared" si="45"/>
        <v>8.4753971274136308E-2</v>
      </c>
      <c r="AF43" s="31">
        <f t="shared" si="45"/>
        <v>3.8356978314014967E-2</v>
      </c>
      <c r="AG43" s="31">
        <f t="shared" si="45"/>
        <v>1.6297624385639198E-2</v>
      </c>
      <c r="AH43" s="31">
        <f t="shared" si="46"/>
        <v>5.5646295403069868E-2</v>
      </c>
      <c r="AI43" s="31">
        <f t="shared" si="46"/>
        <v>2.6826033110933345E-2</v>
      </c>
      <c r="AJ43" s="31">
        <f t="shared" si="46"/>
        <v>2.4267844662360316E-2</v>
      </c>
      <c r="AK43" s="31">
        <f t="shared" si="46"/>
        <v>5.258143330896714E-2</v>
      </c>
      <c r="AL43" s="31">
        <f t="shared" si="46"/>
        <v>-6.7443256854597955E-3</v>
      </c>
      <c r="AM43" s="31">
        <f t="shared" si="46"/>
        <v>-2.9614140238601872E-3</v>
      </c>
      <c r="AN43" s="31">
        <f t="shared" si="46"/>
        <v>9.8600029930903554E-2</v>
      </c>
      <c r="AO43" s="31">
        <f t="shared" si="46"/>
        <v>-1.860464046357313E-3</v>
      </c>
    </row>
    <row r="44" spans="1:41" ht="14.25" x14ac:dyDescent="0.2">
      <c r="B44" s="25" t="s">
        <v>100</v>
      </c>
      <c r="C44" s="6">
        <v>57205.7</v>
      </c>
      <c r="D44" s="6">
        <v>62419.1</v>
      </c>
      <c r="E44" s="38">
        <v>75977.899999999994</v>
      </c>
      <c r="F44" s="6">
        <v>101973.9</v>
      </c>
      <c r="G44" s="6">
        <v>123986.70000000001</v>
      </c>
      <c r="H44" s="6">
        <v>142979.94182727</v>
      </c>
      <c r="I44" s="6">
        <v>154362.28556054999</v>
      </c>
      <c r="J44" s="27">
        <v>172242.09772121001</v>
      </c>
      <c r="K44" s="6">
        <v>183103.16093535</v>
      </c>
      <c r="L44" s="6">
        <v>211177.95695254003</v>
      </c>
      <c r="M44" s="6">
        <v>208565.46561741998</v>
      </c>
      <c r="N44" s="6">
        <v>215551.61460905001</v>
      </c>
      <c r="O44" s="6">
        <v>236771.24732562003</v>
      </c>
      <c r="P44" s="6">
        <v>246744.72283617003</v>
      </c>
      <c r="Q44" s="6">
        <v>250392.97036329005</v>
      </c>
      <c r="R44" s="6">
        <v>264604.30606097996</v>
      </c>
      <c r="S44" s="6">
        <v>272050.57678078004</v>
      </c>
      <c r="T44" s="6">
        <v>296666.00755673996</v>
      </c>
      <c r="U44" s="6">
        <v>294105.29586819001</v>
      </c>
      <c r="V44" s="6">
        <v>305198.98635575001</v>
      </c>
      <c r="W44" s="31">
        <f t="shared" si="5"/>
        <v>9.1134275080979821E-2</v>
      </c>
      <c r="X44" s="31">
        <f t="shared" si="45"/>
        <v>0.21722197212071293</v>
      </c>
      <c r="Y44" s="31">
        <f t="shared" si="45"/>
        <v>0.34215212581553334</v>
      </c>
      <c r="Z44" s="31">
        <f t="shared" si="45"/>
        <v>0.2158670012620878</v>
      </c>
      <c r="AA44" s="31">
        <f t="shared" si="45"/>
        <v>0.1531877356786655</v>
      </c>
      <c r="AB44" s="31">
        <f t="shared" si="45"/>
        <v>7.9607975690958677E-2</v>
      </c>
      <c r="AC44" s="31">
        <f t="shared" si="45"/>
        <v>0.11583018543507184</v>
      </c>
      <c r="AD44" s="31">
        <f t="shared" si="45"/>
        <v>6.3056960858196343E-2</v>
      </c>
      <c r="AE44" s="31">
        <f t="shared" si="45"/>
        <v>0.15332775181911074</v>
      </c>
      <c r="AF44" s="31">
        <f t="shared" si="45"/>
        <v>-1.2371041811466976E-2</v>
      </c>
      <c r="AG44" s="31">
        <f t="shared" si="45"/>
        <v>3.3496192530958258E-2</v>
      </c>
      <c r="AH44" s="31">
        <f t="shared" si="46"/>
        <v>9.844339489201448E-2</v>
      </c>
      <c r="AI44" s="31">
        <f t="shared" si="46"/>
        <v>4.212283215636381E-2</v>
      </c>
      <c r="AJ44" s="31">
        <f t="shared" si="46"/>
        <v>1.4785513891384605E-2</v>
      </c>
      <c r="AK44" s="31">
        <f t="shared" si="46"/>
        <v>5.6756128884412949E-2</v>
      </c>
      <c r="AL44" s="31">
        <f t="shared" si="46"/>
        <v>2.8141154732697515E-2</v>
      </c>
      <c r="AM44" s="31">
        <f t="shared" si="46"/>
        <v>9.0481082845838445E-2</v>
      </c>
      <c r="AN44" s="31">
        <f t="shared" si="46"/>
        <v>-8.6316316103731694E-3</v>
      </c>
      <c r="AO44" s="31">
        <f t="shared" si="46"/>
        <v>3.7720131678730118E-2</v>
      </c>
    </row>
    <row r="45" spans="1:41" ht="14.25" x14ac:dyDescent="0.2">
      <c r="B45" s="1" t="s">
        <v>101</v>
      </c>
      <c r="C45" s="6">
        <v>23215.5</v>
      </c>
      <c r="D45" s="6">
        <v>30049.200000000001</v>
      </c>
      <c r="E45" s="38">
        <v>35125.199999999997</v>
      </c>
      <c r="F45" s="6">
        <v>47066.400000000001</v>
      </c>
      <c r="G45" s="6">
        <v>54960.200000000012</v>
      </c>
      <c r="H45" s="6">
        <v>61286.513053180002</v>
      </c>
      <c r="I45" s="6">
        <v>64409.835289989998</v>
      </c>
      <c r="J45" s="27">
        <v>73627.161083319996</v>
      </c>
      <c r="K45" s="6">
        <v>83846.912132450001</v>
      </c>
      <c r="L45" s="6">
        <v>88718.036930750022</v>
      </c>
      <c r="M45" s="6">
        <v>86565.877954730007</v>
      </c>
      <c r="N45" s="6">
        <v>100293.98204747991</v>
      </c>
      <c r="O45" s="6">
        <v>100177.53606723</v>
      </c>
      <c r="P45" s="6">
        <v>104914.42685060998</v>
      </c>
      <c r="Q45" s="6">
        <v>103081.69283018999</v>
      </c>
      <c r="R45" s="6">
        <v>146276.31257431995</v>
      </c>
      <c r="S45" s="6">
        <v>150217.24879504996</v>
      </c>
      <c r="T45" s="6">
        <v>149600.65669362995</v>
      </c>
      <c r="U45" s="6">
        <v>154135.32913015</v>
      </c>
      <c r="V45" s="6">
        <v>159608.56303817002</v>
      </c>
      <c r="W45" s="31">
        <f t="shared" si="5"/>
        <v>0.29435937197131223</v>
      </c>
      <c r="X45" s="31">
        <f t="shared" si="45"/>
        <v>0.16892296633521009</v>
      </c>
      <c r="Y45" s="31">
        <f t="shared" si="45"/>
        <v>0.33996105360254192</v>
      </c>
      <c r="Z45" s="31">
        <f t="shared" si="45"/>
        <v>0.16771624768412297</v>
      </c>
      <c r="AA45" s="31">
        <f t="shared" si="45"/>
        <v>0.11510716942769483</v>
      </c>
      <c r="AB45" s="31">
        <f t="shared" si="45"/>
        <v>5.0962635679726143E-2</v>
      </c>
      <c r="AC45" s="31">
        <f t="shared" si="45"/>
        <v>0.14310432175196808</v>
      </c>
      <c r="AD45" s="31">
        <f t="shared" si="45"/>
        <v>0.13880408939799871</v>
      </c>
      <c r="AE45" s="31">
        <f t="shared" si="45"/>
        <v>5.809545843030306E-2</v>
      </c>
      <c r="AF45" s="31">
        <f t="shared" si="45"/>
        <v>-2.4258415204789885E-2</v>
      </c>
      <c r="AG45" s="31">
        <f t="shared" si="45"/>
        <v>0.15858562769881535</v>
      </c>
      <c r="AH45" s="31">
        <f t="shared" si="46"/>
        <v>-1.1610465341258536E-3</v>
      </c>
      <c r="AI45" s="31">
        <f t="shared" si="46"/>
        <v>4.728495997546811E-2</v>
      </c>
      <c r="AJ45" s="31">
        <f t="shared" si="46"/>
        <v>-1.7468846520313774E-2</v>
      </c>
      <c r="AK45" s="31">
        <f t="shared" si="46"/>
        <v>0.41903289088670603</v>
      </c>
      <c r="AL45" s="31">
        <f t="shared" si="46"/>
        <v>2.6941725227915603E-2</v>
      </c>
      <c r="AM45" s="31">
        <f t="shared" si="46"/>
        <v>-4.1046691133403979E-3</v>
      </c>
      <c r="AN45" s="31">
        <f t="shared" si="46"/>
        <v>3.0311848468731695E-2</v>
      </c>
      <c r="AO45" s="31">
        <f t="shared" si="46"/>
        <v>3.5509275770245319E-2</v>
      </c>
    </row>
    <row r="46" spans="1:41" x14ac:dyDescent="0.2">
      <c r="B46" s="1" t="s">
        <v>17</v>
      </c>
      <c r="C46" s="5">
        <f>+C47+C48</f>
        <v>267396</v>
      </c>
      <c r="D46" s="5">
        <f>+D47+D48</f>
        <v>268591.09999999998</v>
      </c>
      <c r="E46" s="39">
        <f t="shared" ref="E46:O46" si="47">+E47+E48</f>
        <v>213793</v>
      </c>
      <c r="F46" s="5">
        <f t="shared" si="47"/>
        <v>212991.6</v>
      </c>
      <c r="G46" s="5">
        <f t="shared" si="47"/>
        <v>232959.40000000002</v>
      </c>
      <c r="H46" s="5">
        <f t="shared" si="47"/>
        <v>272478.72186718998</v>
      </c>
      <c r="I46" s="5">
        <f t="shared" si="47"/>
        <v>287106.12748282001</v>
      </c>
      <c r="J46" s="5">
        <f t="shared" si="47"/>
        <v>376591.58638887998</v>
      </c>
      <c r="K46" s="5">
        <f t="shared" si="47"/>
        <v>378198.62168626994</v>
      </c>
      <c r="L46" s="5">
        <f t="shared" si="47"/>
        <v>428993.38792509999</v>
      </c>
      <c r="M46" s="5">
        <f t="shared" si="47"/>
        <v>460885.12870717002</v>
      </c>
      <c r="N46" s="5">
        <f t="shared" si="47"/>
        <v>559368.00972251</v>
      </c>
      <c r="O46" s="5">
        <f t="shared" si="47"/>
        <v>656900.37555539003</v>
      </c>
      <c r="P46" s="5">
        <f t="shared" ref="P46:V46" si="48">+P47+P48</f>
        <v>820072.87479337992</v>
      </c>
      <c r="Q46" s="5">
        <f t="shared" si="48"/>
        <v>912481.01319493994</v>
      </c>
      <c r="R46" s="5">
        <f t="shared" si="48"/>
        <v>1069658.20269676</v>
      </c>
      <c r="S46" s="5">
        <f t="shared" si="48"/>
        <v>1203980.7675599002</v>
      </c>
      <c r="T46" s="5">
        <f t="shared" si="48"/>
        <v>1258223.82591981</v>
      </c>
      <c r="U46" s="5">
        <f t="shared" si="48"/>
        <v>1374373.2296525498</v>
      </c>
      <c r="V46" s="5">
        <f t="shared" si="48"/>
        <v>1269169.0622513399</v>
      </c>
      <c r="W46" s="32">
        <f t="shared" si="5"/>
        <v>4.4694011877515205E-3</v>
      </c>
      <c r="X46" s="32">
        <f t="shared" si="45"/>
        <v>-0.20402053530440878</v>
      </c>
      <c r="Y46" s="32">
        <f t="shared" si="45"/>
        <v>-3.7484856847510573E-3</v>
      </c>
      <c r="Z46" s="32">
        <f t="shared" si="45"/>
        <v>9.3749237059114199E-2</v>
      </c>
      <c r="AA46" s="32">
        <f t="shared" si="45"/>
        <v>0.16964038311907537</v>
      </c>
      <c r="AB46" s="32">
        <f t="shared" si="45"/>
        <v>5.3682744529166104E-2</v>
      </c>
      <c r="AC46" s="32">
        <f t="shared" si="45"/>
        <v>0.31168077007138995</v>
      </c>
      <c r="AD46" s="32">
        <f t="shared" si="45"/>
        <v>4.2673159875921129E-3</v>
      </c>
      <c r="AE46" s="32">
        <f t="shared" si="45"/>
        <v>0.13430711622467584</v>
      </c>
      <c r="AF46" s="32">
        <f t="shared" si="45"/>
        <v>7.4340867900831498E-2</v>
      </c>
      <c r="AG46" s="32">
        <f t="shared" si="45"/>
        <v>0.21368205411963404</v>
      </c>
      <c r="AH46" s="32">
        <f t="shared" si="46"/>
        <v>0.17436171561055791</v>
      </c>
      <c r="AI46" s="32">
        <f t="shared" si="46"/>
        <v>0.24839763426841133</v>
      </c>
      <c r="AJ46" s="32">
        <f t="shared" si="46"/>
        <v>0.11268283739398477</v>
      </c>
      <c r="AK46" s="32">
        <f t="shared" si="46"/>
        <v>0.17225255893433156</v>
      </c>
      <c r="AL46" s="32">
        <f t="shared" si="46"/>
        <v>0.12557522068684568</v>
      </c>
      <c r="AM46" s="32">
        <f t="shared" si="46"/>
        <v>4.5053093721624693E-2</v>
      </c>
      <c r="AN46" s="32">
        <f t="shared" si="46"/>
        <v>9.2312195445695133E-2</v>
      </c>
      <c r="AO46" s="32">
        <f t="shared" si="46"/>
        <v>-7.6547014400015767E-2</v>
      </c>
    </row>
    <row r="47" spans="1:41" x14ac:dyDescent="0.2">
      <c r="B47" s="1" t="s">
        <v>3</v>
      </c>
      <c r="C47" s="6">
        <v>201942.8</v>
      </c>
      <c r="D47" s="6">
        <v>202480.3</v>
      </c>
      <c r="E47" s="38">
        <v>151561.20000000001</v>
      </c>
      <c r="F47" s="6">
        <v>148665.1</v>
      </c>
      <c r="G47" s="6">
        <v>180708.2</v>
      </c>
      <c r="H47" s="6">
        <v>222632.40208321001</v>
      </c>
      <c r="I47" s="6">
        <v>248796.46711537</v>
      </c>
      <c r="J47" s="27">
        <v>334760.70798368996</v>
      </c>
      <c r="K47" s="6">
        <v>319059.10462805995</v>
      </c>
      <c r="L47" s="6">
        <v>355092.96602246998</v>
      </c>
      <c r="M47" s="6">
        <v>350163.76552418002</v>
      </c>
      <c r="N47" s="6">
        <v>441212.20993372996</v>
      </c>
      <c r="O47" s="6">
        <v>534981.33135053003</v>
      </c>
      <c r="P47" s="6">
        <v>684998.03058716992</v>
      </c>
      <c r="Q47" s="6">
        <v>781588.78777290997</v>
      </c>
      <c r="R47" s="6">
        <v>931628.73935277003</v>
      </c>
      <c r="S47" s="6">
        <v>1044819.9446268001</v>
      </c>
      <c r="T47" s="6">
        <v>1056339.0308320499</v>
      </c>
      <c r="U47" s="6">
        <v>1103768.7002811797</v>
      </c>
      <c r="V47" s="6">
        <v>1026219.34379461</v>
      </c>
      <c r="W47" s="31">
        <f t="shared" si="5"/>
        <v>2.6616447825820178E-3</v>
      </c>
      <c r="X47" s="31">
        <f t="shared" si="45"/>
        <v>-0.2514768103366104</v>
      </c>
      <c r="Y47" s="31">
        <f t="shared" si="45"/>
        <v>-1.9108452559098321E-2</v>
      </c>
      <c r="Z47" s="31">
        <f t="shared" si="45"/>
        <v>0.21553881845840084</v>
      </c>
      <c r="AA47" s="31">
        <f t="shared" si="45"/>
        <v>0.23199944486863355</v>
      </c>
      <c r="AB47" s="31">
        <f t="shared" si="45"/>
        <v>0.11752137059717405</v>
      </c>
      <c r="AC47" s="31">
        <f t="shared" si="45"/>
        <v>0.34552034385784625</v>
      </c>
      <c r="AD47" s="31">
        <f t="shared" si="45"/>
        <v>-4.6903961489993651E-2</v>
      </c>
      <c r="AE47" s="31">
        <f t="shared" si="45"/>
        <v>0.11293788790768455</v>
      </c>
      <c r="AF47" s="31">
        <f t="shared" si="45"/>
        <v>-1.3881436609414655E-2</v>
      </c>
      <c r="AG47" s="31">
        <f t="shared" si="45"/>
        <v>0.26001675037179917</v>
      </c>
      <c r="AH47" s="31">
        <f t="shared" si="46"/>
        <v>0.21252612531027681</v>
      </c>
      <c r="AI47" s="31">
        <f t="shared" si="46"/>
        <v>0.28041483028563108</v>
      </c>
      <c r="AJ47" s="31">
        <f t="shared" si="46"/>
        <v>0.14100881005883181</v>
      </c>
      <c r="AK47" s="31">
        <f t="shared" si="46"/>
        <v>0.19196789146296456</v>
      </c>
      <c r="AL47" s="31">
        <f t="shared" si="46"/>
        <v>0.12149818966798653</v>
      </c>
      <c r="AM47" s="31">
        <f t="shared" si="46"/>
        <v>1.1024948618648667E-2</v>
      </c>
      <c r="AN47" s="31">
        <f t="shared" si="46"/>
        <v>4.490004445994078E-2</v>
      </c>
      <c r="AO47" s="31">
        <f t="shared" si="46"/>
        <v>-7.025870226870401E-2</v>
      </c>
    </row>
    <row r="48" spans="1:41" x14ac:dyDescent="0.2">
      <c r="B48" s="1" t="s">
        <v>4</v>
      </c>
      <c r="C48" s="6">
        <v>65453.2</v>
      </c>
      <c r="D48" s="6">
        <v>66110.8</v>
      </c>
      <c r="E48" s="38">
        <v>62231.8</v>
      </c>
      <c r="F48" s="6">
        <v>64326.5</v>
      </c>
      <c r="G48" s="6">
        <v>52251.199999999997</v>
      </c>
      <c r="H48" s="6">
        <v>49846.319783979998</v>
      </c>
      <c r="I48" s="6">
        <v>38309.66036745</v>
      </c>
      <c r="J48" s="27">
        <v>41830.87840519</v>
      </c>
      <c r="K48" s="6">
        <v>59139.517058210004</v>
      </c>
      <c r="L48" s="6">
        <v>73900.421902630012</v>
      </c>
      <c r="M48" s="6">
        <v>110721.36318299</v>
      </c>
      <c r="N48" s="6">
        <v>118155.79978878</v>
      </c>
      <c r="O48" s="6">
        <v>121919.04420485999</v>
      </c>
      <c r="P48" s="6">
        <v>135074.84420620999</v>
      </c>
      <c r="Q48" s="6">
        <v>130892.22542202999</v>
      </c>
      <c r="R48" s="6">
        <v>138029.46334399001</v>
      </c>
      <c r="S48" s="6">
        <v>159160.82293309999</v>
      </c>
      <c r="T48" s="6">
        <v>201884.79508776002</v>
      </c>
      <c r="U48" s="6">
        <v>270604.52937137004</v>
      </c>
      <c r="V48" s="6">
        <v>242949.71845672998</v>
      </c>
      <c r="W48" s="31">
        <f t="shared" si="5"/>
        <v>1.0046873185726612E-2</v>
      </c>
      <c r="X48" s="31">
        <f t="shared" si="45"/>
        <v>-5.867422569383518E-2</v>
      </c>
      <c r="Y48" s="31">
        <f t="shared" si="45"/>
        <v>3.3659640248233202E-2</v>
      </c>
      <c r="Z48" s="31">
        <f t="shared" si="45"/>
        <v>-0.18771890278501091</v>
      </c>
      <c r="AA48" s="31">
        <f t="shared" si="45"/>
        <v>-4.6025358575879638E-2</v>
      </c>
      <c r="AB48" s="31">
        <f t="shared" si="45"/>
        <v>-0.23144455732191771</v>
      </c>
      <c r="AC48" s="31">
        <f t="shared" si="45"/>
        <v>9.191462424793051E-2</v>
      </c>
      <c r="AD48" s="31">
        <f t="shared" si="45"/>
        <v>0.41377660027508534</v>
      </c>
      <c r="AE48" s="31">
        <f t="shared" si="45"/>
        <v>0.24959461251418591</v>
      </c>
      <c r="AF48" s="31">
        <f t="shared" si="45"/>
        <v>0.49825075868815283</v>
      </c>
      <c r="AG48" s="31">
        <f t="shared" si="45"/>
        <v>6.714545767922897E-2</v>
      </c>
      <c r="AH48" s="31">
        <f t="shared" si="46"/>
        <v>3.1849849290574994E-2</v>
      </c>
      <c r="AI48" s="31">
        <f t="shared" si="46"/>
        <v>0.10790602967034713</v>
      </c>
      <c r="AJ48" s="31">
        <f t="shared" si="46"/>
        <v>-3.0965194213325664E-2</v>
      </c>
      <c r="AK48" s="31">
        <f t="shared" si="46"/>
        <v>5.452759244445371E-2</v>
      </c>
      <c r="AL48" s="31">
        <f t="shared" si="46"/>
        <v>0.15309310836373746</v>
      </c>
      <c r="AM48" s="31">
        <f t="shared" si="46"/>
        <v>0.26843271709281247</v>
      </c>
      <c r="AN48" s="31">
        <f t="shared" si="46"/>
        <v>0.34039083653495217</v>
      </c>
      <c r="AO48" s="31">
        <f t="shared" si="46"/>
        <v>-0.10219640809000419</v>
      </c>
    </row>
    <row r="49" spans="1:41" x14ac:dyDescent="0.2">
      <c r="C49" s="6"/>
      <c r="D49" s="6"/>
      <c r="E49" s="3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4.25" x14ac:dyDescent="0.2">
      <c r="B50" s="1" t="s">
        <v>99</v>
      </c>
      <c r="C50" s="5">
        <f>+C51+C52+C53+C54</f>
        <v>263721.30000000005</v>
      </c>
      <c r="D50" s="5">
        <f>+D51+D52+D53+D54</f>
        <v>346578.3</v>
      </c>
      <c r="E50" s="39">
        <f t="shared" ref="E50:O50" si="49">+E51+E52+E53+E54</f>
        <v>436214.07796985004</v>
      </c>
      <c r="F50" s="5">
        <f t="shared" si="49"/>
        <v>554091.08274498011</v>
      </c>
      <c r="G50" s="5">
        <f t="shared" si="49"/>
        <v>747530.09999999974</v>
      </c>
      <c r="H50" s="5">
        <f t="shared" si="49"/>
        <v>825780.6243283099</v>
      </c>
      <c r="I50" s="5">
        <f t="shared" si="49"/>
        <v>925771.17992065987</v>
      </c>
      <c r="J50" s="5">
        <f t="shared" si="49"/>
        <v>1042033.72234785</v>
      </c>
      <c r="K50" s="5">
        <f t="shared" si="49"/>
        <v>1131787.8251267492</v>
      </c>
      <c r="L50" s="5">
        <f t="shared" si="49"/>
        <v>1226173.2671363903</v>
      </c>
      <c r="M50" s="5">
        <f t="shared" si="49"/>
        <v>1311013.56915506</v>
      </c>
      <c r="N50" s="5">
        <f t="shared" si="49"/>
        <v>1410261.1138108298</v>
      </c>
      <c r="O50" s="5">
        <f t="shared" si="49"/>
        <v>1517431.3902493105</v>
      </c>
      <c r="P50" s="5">
        <f t="shared" ref="P50:V50" si="50">+P51+P52+P53+P54</f>
        <v>1631431.29863115</v>
      </c>
      <c r="Q50" s="5">
        <f t="shared" si="50"/>
        <v>1628724.7238215299</v>
      </c>
      <c r="R50" s="5">
        <f t="shared" si="50"/>
        <v>1560771.3903838499</v>
      </c>
      <c r="S50" s="5">
        <f t="shared" si="50"/>
        <v>1511220.1296419699</v>
      </c>
      <c r="T50" s="5">
        <f t="shared" si="50"/>
        <v>1599710.1778208697</v>
      </c>
      <c r="U50" s="5">
        <f t="shared" si="50"/>
        <v>1673419.7300174795</v>
      </c>
      <c r="V50" s="5">
        <f t="shared" si="50"/>
        <v>1652726.2434404499</v>
      </c>
      <c r="W50" s="32">
        <f t="shared" si="5"/>
        <v>0.3141839510119202</v>
      </c>
      <c r="X50" s="32">
        <f t="shared" ref="X50:AG54" si="51">+E50/D50-1</f>
        <v>0.25863067009633922</v>
      </c>
      <c r="Y50" s="32">
        <f t="shared" si="51"/>
        <v>0.27022741981123644</v>
      </c>
      <c r="Z50" s="32">
        <f t="shared" si="51"/>
        <v>0.34911050417328182</v>
      </c>
      <c r="AA50" s="32">
        <f t="shared" si="51"/>
        <v>0.10467876053193059</v>
      </c>
      <c r="AB50" s="32">
        <f t="shared" si="51"/>
        <v>0.1210861004079411</v>
      </c>
      <c r="AC50" s="32">
        <f t="shared" si="51"/>
        <v>0.12558453422275906</v>
      </c>
      <c r="AD50" s="32">
        <f t="shared" si="51"/>
        <v>8.6133587478023799E-2</v>
      </c>
      <c r="AE50" s="32">
        <f t="shared" si="51"/>
        <v>8.3394996760166373E-2</v>
      </c>
      <c r="AF50" s="32">
        <f t="shared" si="51"/>
        <v>6.9191120286618224E-2</v>
      </c>
      <c r="AG50" s="32">
        <f t="shared" si="51"/>
        <v>7.5702911846850185E-2</v>
      </c>
      <c r="AH50" s="32">
        <f t="shared" ref="AH50:AO54" si="52">+O50/N50-1</f>
        <v>7.5993215291091376E-2</v>
      </c>
      <c r="AI50" s="32">
        <f t="shared" si="52"/>
        <v>7.5126894773878128E-2</v>
      </c>
      <c r="AJ50" s="32">
        <f t="shared" si="52"/>
        <v>-1.6590185635712018E-3</v>
      </c>
      <c r="AK50" s="32">
        <f t="shared" si="52"/>
        <v>-4.1721803840638505E-2</v>
      </c>
      <c r="AL50" s="32">
        <f t="shared" si="52"/>
        <v>-3.1747929932066099E-2</v>
      </c>
      <c r="AM50" s="32">
        <f t="shared" si="52"/>
        <v>5.855536625221136E-2</v>
      </c>
      <c r="AN50" s="32">
        <f t="shared" si="52"/>
        <v>4.6076816424970968E-2</v>
      </c>
      <c r="AO50" s="32">
        <f t="shared" si="52"/>
        <v>-1.2365986970174769E-2</v>
      </c>
    </row>
    <row r="51" spans="1:41" x14ac:dyDescent="0.2">
      <c r="B51" s="1" t="s">
        <v>6</v>
      </c>
      <c r="C51" s="6">
        <v>140700.1</v>
      </c>
      <c r="D51" s="6">
        <v>168230.59999999998</v>
      </c>
      <c r="E51" s="38">
        <v>189204.98152101002</v>
      </c>
      <c r="F51" s="6">
        <v>224042.41864101999</v>
      </c>
      <c r="G51" s="6">
        <v>253222.79999999996</v>
      </c>
      <c r="H51" s="6">
        <v>275213.01318638003</v>
      </c>
      <c r="I51" s="6">
        <v>294702.93600816012</v>
      </c>
      <c r="J51" s="27">
        <v>324456.12274519011</v>
      </c>
      <c r="K51" s="6">
        <v>357347.25149157003</v>
      </c>
      <c r="L51" s="6">
        <v>390126.94659718021</v>
      </c>
      <c r="M51" s="6">
        <v>407041.40846028004</v>
      </c>
      <c r="N51" s="6">
        <v>430291.25643005996</v>
      </c>
      <c r="O51" s="6">
        <v>455684.04680210014</v>
      </c>
      <c r="P51" s="6">
        <v>462399.12727835</v>
      </c>
      <c r="Q51" s="6">
        <v>550616.71250114008</v>
      </c>
      <c r="R51" s="6">
        <v>517274.5780248401</v>
      </c>
      <c r="S51" s="6">
        <v>525157.96178399015</v>
      </c>
      <c r="T51" s="6">
        <v>537531.89989022003</v>
      </c>
      <c r="U51" s="6">
        <v>538495.14626882004</v>
      </c>
      <c r="V51" s="6">
        <v>540428.62025790999</v>
      </c>
      <c r="W51" s="31">
        <f t="shared" si="5"/>
        <v>0.1956679490632911</v>
      </c>
      <c r="X51" s="31">
        <f t="shared" si="51"/>
        <v>0.12467637588530289</v>
      </c>
      <c r="Y51" s="31">
        <f t="shared" si="51"/>
        <v>0.18412536942713364</v>
      </c>
      <c r="Z51" s="31">
        <f t="shared" si="51"/>
        <v>0.13024489530143524</v>
      </c>
      <c r="AA51" s="31">
        <f t="shared" si="51"/>
        <v>8.6841363362146318E-2</v>
      </c>
      <c r="AB51" s="31">
        <f t="shared" si="51"/>
        <v>7.0817591785098832E-2</v>
      </c>
      <c r="AC51" s="31">
        <f t="shared" si="51"/>
        <v>0.10095992642640694</v>
      </c>
      <c r="AD51" s="31">
        <f t="shared" si="51"/>
        <v>0.10137311778274194</v>
      </c>
      <c r="AE51" s="31">
        <f t="shared" si="51"/>
        <v>9.1730648462490016E-2</v>
      </c>
      <c r="AF51" s="31">
        <f t="shared" si="51"/>
        <v>4.3356302379606193E-2</v>
      </c>
      <c r="AG51" s="31">
        <f t="shared" si="51"/>
        <v>5.7119122247850429E-2</v>
      </c>
      <c r="AH51" s="31">
        <f t="shared" si="52"/>
        <v>5.9013028948608381E-2</v>
      </c>
      <c r="AI51" s="31">
        <f t="shared" si="52"/>
        <v>1.4736264136028021E-2</v>
      </c>
      <c r="AJ51" s="31">
        <f t="shared" si="52"/>
        <v>0.1907823350403639</v>
      </c>
      <c r="AK51" s="31">
        <f t="shared" si="52"/>
        <v>-6.0554163575684994E-2</v>
      </c>
      <c r="AL51" s="31">
        <f t="shared" si="52"/>
        <v>1.5240230419310219E-2</v>
      </c>
      <c r="AM51" s="31">
        <f t="shared" si="52"/>
        <v>2.3562316496535507E-2</v>
      </c>
      <c r="AN51" s="31">
        <f t="shared" si="52"/>
        <v>1.7919799342080989E-3</v>
      </c>
      <c r="AO51" s="31">
        <f t="shared" si="52"/>
        <v>3.5905133082196894E-3</v>
      </c>
    </row>
    <row r="52" spans="1:41" x14ac:dyDescent="0.2">
      <c r="B52" s="1" t="s">
        <v>7</v>
      </c>
      <c r="C52" s="6">
        <v>121089.40000000002</v>
      </c>
      <c r="D52" s="6">
        <v>174152.30000000005</v>
      </c>
      <c r="E52" s="38">
        <v>243326.59644884005</v>
      </c>
      <c r="F52" s="6">
        <v>324862.96410396014</v>
      </c>
      <c r="G52" s="6">
        <v>487310.59999999986</v>
      </c>
      <c r="H52" s="6">
        <v>545414.59583044983</v>
      </c>
      <c r="I52" s="6">
        <v>626682.80922959978</v>
      </c>
      <c r="J52" s="27">
        <v>712946.37694362993</v>
      </c>
      <c r="K52" s="6">
        <v>764508.43653753889</v>
      </c>
      <c r="L52" s="6">
        <v>828059.14259094012</v>
      </c>
      <c r="M52" s="6">
        <v>887545.27209350001</v>
      </c>
      <c r="N52" s="6">
        <v>944856.20947104995</v>
      </c>
      <c r="O52" s="6">
        <v>1044509.2332287703</v>
      </c>
      <c r="P52" s="6">
        <v>1150559.68204048</v>
      </c>
      <c r="Q52" s="6">
        <v>999348.05248184991</v>
      </c>
      <c r="R52" s="6">
        <v>1021516.0597576299</v>
      </c>
      <c r="S52" s="6">
        <v>982896.42833600973</v>
      </c>
      <c r="T52" s="6">
        <v>1035715.5026999298</v>
      </c>
      <c r="U52" s="6">
        <v>1102009.1575377397</v>
      </c>
      <c r="V52" s="6">
        <v>1104977.68605289</v>
      </c>
      <c r="W52" s="31">
        <f t="shared" si="5"/>
        <v>0.4382125933401273</v>
      </c>
      <c r="X52" s="31">
        <f t="shared" si="51"/>
        <v>0.39720575868845831</v>
      </c>
      <c r="Y52" s="31">
        <f t="shared" si="51"/>
        <v>0.33509024021656142</v>
      </c>
      <c r="Z52" s="31">
        <f t="shared" si="51"/>
        <v>0.50004972510210322</v>
      </c>
      <c r="AA52" s="31">
        <f t="shared" si="51"/>
        <v>0.11923400769539994</v>
      </c>
      <c r="AB52" s="31">
        <f t="shared" si="51"/>
        <v>0.14900263766394217</v>
      </c>
      <c r="AC52" s="31">
        <f t="shared" si="51"/>
        <v>0.13765108352034838</v>
      </c>
      <c r="AD52" s="31">
        <f t="shared" si="51"/>
        <v>7.232249333386509E-2</v>
      </c>
      <c r="AE52" s="31">
        <f t="shared" si="51"/>
        <v>8.3126232512518161E-2</v>
      </c>
      <c r="AF52" s="31">
        <f t="shared" si="51"/>
        <v>7.1838020309070938E-2</v>
      </c>
      <c r="AG52" s="31">
        <f t="shared" si="51"/>
        <v>6.4572410196459762E-2</v>
      </c>
      <c r="AH52" s="31">
        <f t="shared" si="52"/>
        <v>0.10546898327895637</v>
      </c>
      <c r="AI52" s="31">
        <f t="shared" si="52"/>
        <v>0.10153136558102815</v>
      </c>
      <c r="AJ52" s="31">
        <f t="shared" si="52"/>
        <v>-0.13142441189183784</v>
      </c>
      <c r="AK52" s="31">
        <f t="shared" si="52"/>
        <v>2.2182469081444056E-2</v>
      </c>
      <c r="AL52" s="31">
        <f t="shared" si="52"/>
        <v>-3.7806191153551993E-2</v>
      </c>
      <c r="AM52" s="31">
        <f t="shared" si="52"/>
        <v>5.3738189336326903E-2</v>
      </c>
      <c r="AN52" s="31">
        <f t="shared" si="52"/>
        <v>6.4007591529714469E-2</v>
      </c>
      <c r="AO52" s="31">
        <f t="shared" si="52"/>
        <v>2.6937421480079937E-3</v>
      </c>
    </row>
    <row r="53" spans="1:41" x14ac:dyDescent="0.2">
      <c r="B53" s="1" t="s">
        <v>8</v>
      </c>
      <c r="C53" s="6">
        <v>1468.1</v>
      </c>
      <c r="D53" s="6">
        <v>1771.3</v>
      </c>
      <c r="E53" s="38">
        <v>2296.5</v>
      </c>
      <c r="F53" s="6">
        <v>2247.5</v>
      </c>
      <c r="G53" s="6">
        <v>3270.1</v>
      </c>
      <c r="H53" s="6">
        <v>2799.1011761699997</v>
      </c>
      <c r="I53" s="6">
        <v>2435.5785088600001</v>
      </c>
      <c r="J53" s="27">
        <v>2559.9668890499997</v>
      </c>
      <c r="K53" s="6">
        <v>4356.6562220599999</v>
      </c>
      <c r="L53" s="6">
        <v>3665.1198981300004</v>
      </c>
      <c r="M53" s="6">
        <v>2952.2663298299999</v>
      </c>
      <c r="N53" s="6">
        <v>3368.4105990099997</v>
      </c>
      <c r="O53" s="6">
        <v>2912.7447184400003</v>
      </c>
      <c r="P53" s="6">
        <v>3531.3528833499995</v>
      </c>
      <c r="Q53" s="6">
        <v>4259.1833385400014</v>
      </c>
      <c r="R53" s="6">
        <v>4241.7371863799981</v>
      </c>
      <c r="S53" s="6">
        <v>3162.9995686999991</v>
      </c>
      <c r="T53" s="6">
        <v>6410.7699856700001</v>
      </c>
      <c r="U53" s="6">
        <v>4712.8792747500001</v>
      </c>
      <c r="V53" s="6">
        <v>7181.9793949799996</v>
      </c>
      <c r="W53" s="31">
        <f t="shared" si="5"/>
        <v>0.20652544104625026</v>
      </c>
      <c r="X53" s="31">
        <f t="shared" si="51"/>
        <v>0.29650539152035238</v>
      </c>
      <c r="Y53" s="31">
        <f t="shared" si="51"/>
        <v>-2.1336816895275446E-2</v>
      </c>
      <c r="Z53" s="31">
        <f t="shared" si="51"/>
        <v>0.45499443826473862</v>
      </c>
      <c r="AA53" s="31">
        <f t="shared" si="51"/>
        <v>-0.14403193291642469</v>
      </c>
      <c r="AB53" s="31">
        <f t="shared" si="51"/>
        <v>-0.12987121380421351</v>
      </c>
      <c r="AC53" s="31">
        <f t="shared" si="51"/>
        <v>5.1071390118408111E-2</v>
      </c>
      <c r="AD53" s="31">
        <f t="shared" si="51"/>
        <v>0.7018408482918892</v>
      </c>
      <c r="AE53" s="31">
        <f t="shared" si="51"/>
        <v>-0.15873098281851894</v>
      </c>
      <c r="AF53" s="31">
        <f t="shared" si="51"/>
        <v>-0.19449665716630693</v>
      </c>
      <c r="AG53" s="31">
        <f t="shared" si="51"/>
        <v>0.14095756367751644</v>
      </c>
      <c r="AH53" s="31">
        <f t="shared" si="52"/>
        <v>-0.13527622811302253</v>
      </c>
      <c r="AI53" s="31">
        <f t="shared" si="52"/>
        <v>0.21237980829343384</v>
      </c>
      <c r="AJ53" s="31">
        <f t="shared" si="52"/>
        <v>0.20610527444641824</v>
      </c>
      <c r="AK53" s="31">
        <f t="shared" si="52"/>
        <v>-4.0961261287201234E-3</v>
      </c>
      <c r="AL53" s="31">
        <f t="shared" si="52"/>
        <v>-0.2543150530739553</v>
      </c>
      <c r="AM53" s="31">
        <f t="shared" si="52"/>
        <v>1.026800777688643</v>
      </c>
      <c r="AN53" s="31">
        <f t="shared" si="52"/>
        <v>-0.26484973173507964</v>
      </c>
      <c r="AO53" s="31">
        <f t="shared" si="52"/>
        <v>0.52390480983856214</v>
      </c>
    </row>
    <row r="54" spans="1:41" x14ac:dyDescent="0.2">
      <c r="B54" s="17" t="s">
        <v>39</v>
      </c>
      <c r="C54" s="6">
        <v>463.7</v>
      </c>
      <c r="D54" s="6">
        <v>2424.1</v>
      </c>
      <c r="E54" s="38">
        <v>1386</v>
      </c>
      <c r="F54" s="6">
        <v>2938.2</v>
      </c>
      <c r="G54" s="6">
        <v>3726.6</v>
      </c>
      <c r="H54" s="6">
        <v>2353.9141353099999</v>
      </c>
      <c r="I54" s="6">
        <v>1949.85617404</v>
      </c>
      <c r="J54" s="27">
        <v>2071.25576998</v>
      </c>
      <c r="K54" s="6">
        <v>5575.4808755799995</v>
      </c>
      <c r="L54" s="6">
        <v>4322.05805014</v>
      </c>
      <c r="M54" s="6">
        <v>13474.62227145</v>
      </c>
      <c r="N54" s="6">
        <v>31745.237310709999</v>
      </c>
      <c r="O54" s="6">
        <v>14325.3655</v>
      </c>
      <c r="P54" s="6">
        <v>14941.136428970001</v>
      </c>
      <c r="Q54" s="6">
        <v>74500.775500000003</v>
      </c>
      <c r="R54" s="6">
        <v>17739.015415000002</v>
      </c>
      <c r="S54" s="6">
        <v>2.73995327</v>
      </c>
      <c r="T54" s="6">
        <v>20052.005245050001</v>
      </c>
      <c r="U54" s="6">
        <v>28202.546936170002</v>
      </c>
      <c r="V54" s="6">
        <v>137.95773466999998</v>
      </c>
      <c r="W54" s="31">
        <f t="shared" si="5"/>
        <v>4.227733448350226</v>
      </c>
      <c r="X54" s="31">
        <f t="shared" si="51"/>
        <v>-0.42824140918278941</v>
      </c>
      <c r="Y54" s="31">
        <f t="shared" si="51"/>
        <v>1.11991341991342</v>
      </c>
      <c r="Z54" s="31">
        <f t="shared" si="51"/>
        <v>0.26832754747804777</v>
      </c>
      <c r="AA54" s="31">
        <f t="shared" si="51"/>
        <v>-0.3683480557854345</v>
      </c>
      <c r="AB54" s="31">
        <f t="shared" si="51"/>
        <v>-0.17165365346548089</v>
      </c>
      <c r="AC54" s="31">
        <f t="shared" si="51"/>
        <v>6.2260795209559738E-2</v>
      </c>
      <c r="AD54" s="31">
        <f t="shared" si="51"/>
        <v>1.6918360138756965</v>
      </c>
      <c r="AE54" s="31">
        <f t="shared" si="51"/>
        <v>-0.22480981522685428</v>
      </c>
      <c r="AF54" s="31">
        <f t="shared" si="51"/>
        <v>2.1176402804246304</v>
      </c>
      <c r="AG54" s="31">
        <f t="shared" si="51"/>
        <v>1.3559278079335653</v>
      </c>
      <c r="AH54" s="31">
        <f t="shared" si="52"/>
        <v>-0.54873969409052104</v>
      </c>
      <c r="AI54" s="31">
        <f t="shared" si="52"/>
        <v>4.2984657457431075E-2</v>
      </c>
      <c r="AJ54" s="31">
        <f t="shared" si="52"/>
        <v>3.9862857389848401</v>
      </c>
      <c r="AK54" s="31">
        <f t="shared" si="52"/>
        <v>-0.76189488906729563</v>
      </c>
      <c r="AL54" s="31">
        <f t="shared" si="52"/>
        <v>-0.99984554084846877</v>
      </c>
      <c r="AM54" s="31">
        <f t="shared" si="52"/>
        <v>7317.3749024486106</v>
      </c>
      <c r="AN54" s="31">
        <f t="shared" si="52"/>
        <v>0.40647015555374577</v>
      </c>
      <c r="AO54" s="31">
        <f t="shared" si="52"/>
        <v>-0.99510832355027246</v>
      </c>
    </row>
    <row r="55" spans="1:41" x14ac:dyDescent="0.2">
      <c r="C55" s="6"/>
      <c r="D55" s="6"/>
      <c r="E55" s="3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x14ac:dyDescent="0.2">
      <c r="A56" s="7"/>
      <c r="B56" s="16" t="s">
        <v>9</v>
      </c>
      <c r="C56" s="20">
        <f>+C58+C59</f>
        <v>37294.899999999994</v>
      </c>
      <c r="D56" s="20">
        <f t="shared" ref="D56:O56" si="53">+D58+D59</f>
        <v>73138.900000000009</v>
      </c>
      <c r="E56" s="40">
        <f t="shared" si="53"/>
        <v>138760.4</v>
      </c>
      <c r="F56" s="20">
        <f t="shared" si="53"/>
        <v>143796.29999999999</v>
      </c>
      <c r="G56" s="20">
        <f t="shared" si="53"/>
        <v>155431.69999999998</v>
      </c>
      <c r="H56" s="20">
        <f t="shared" si="53"/>
        <v>136518.89206787001</v>
      </c>
      <c r="I56" s="20">
        <f t="shared" si="53"/>
        <v>151282.79650694001</v>
      </c>
      <c r="J56" s="20">
        <f t="shared" si="53"/>
        <v>166036.94113438</v>
      </c>
      <c r="K56" s="20">
        <f t="shared" si="53"/>
        <v>248525.85578947005</v>
      </c>
      <c r="L56" s="20">
        <f t="shared" si="53"/>
        <v>238848.79976451001</v>
      </c>
      <c r="M56" s="20">
        <f t="shared" si="53"/>
        <v>192153.43758781999</v>
      </c>
      <c r="N56" s="20">
        <f t="shared" si="53"/>
        <v>257808.52695607001</v>
      </c>
      <c r="O56" s="20">
        <f t="shared" si="53"/>
        <v>233557.75043908</v>
      </c>
      <c r="P56" s="20">
        <f t="shared" ref="P56:V56" si="54">+P58+P59</f>
        <v>308091.73067790997</v>
      </c>
      <c r="Q56" s="20">
        <f t="shared" si="54"/>
        <v>205000.84422035</v>
      </c>
      <c r="R56" s="20">
        <f t="shared" si="54"/>
        <v>292759.97835263994</v>
      </c>
      <c r="S56" s="20">
        <f t="shared" si="54"/>
        <v>258516.45095343995</v>
      </c>
      <c r="T56" s="20">
        <f t="shared" si="54"/>
        <v>291705.76510801003</v>
      </c>
      <c r="U56" s="20">
        <f t="shared" si="54"/>
        <v>362987.13554175</v>
      </c>
      <c r="V56" s="20">
        <f t="shared" si="54"/>
        <v>320903.18848434999</v>
      </c>
      <c r="W56" s="29">
        <f t="shared" si="5"/>
        <v>0.96109655743814892</v>
      </c>
      <c r="X56" s="29">
        <f t="shared" ref="X56:AO56" si="55">+E56/D56-1</f>
        <v>0.89721748618040431</v>
      </c>
      <c r="Y56" s="29">
        <f t="shared" si="55"/>
        <v>3.6292054505464133E-2</v>
      </c>
      <c r="Z56" s="29">
        <f t="shared" si="55"/>
        <v>8.0915851103261938E-2</v>
      </c>
      <c r="AA56" s="29">
        <f t="shared" si="55"/>
        <v>-0.12167921943934201</v>
      </c>
      <c r="AB56" s="29">
        <f t="shared" si="55"/>
        <v>0.10814550437261206</v>
      </c>
      <c r="AC56" s="29">
        <f t="shared" si="55"/>
        <v>9.7526916266140962E-2</v>
      </c>
      <c r="AD56" s="29">
        <f t="shared" si="55"/>
        <v>0.49681061390024417</v>
      </c>
      <c r="AE56" s="29">
        <f t="shared" si="55"/>
        <v>-3.8937823970949803E-2</v>
      </c>
      <c r="AF56" s="29">
        <f t="shared" si="55"/>
        <v>-0.19550176606593261</v>
      </c>
      <c r="AG56" s="29">
        <f t="shared" si="55"/>
        <v>0.34168053505805029</v>
      </c>
      <c r="AH56" s="29">
        <f t="shared" si="55"/>
        <v>-9.4065067603920971E-2</v>
      </c>
      <c r="AI56" s="29">
        <f t="shared" si="55"/>
        <v>0.31912441397773716</v>
      </c>
      <c r="AJ56" s="29">
        <f t="shared" si="55"/>
        <v>-0.33461101416361883</v>
      </c>
      <c r="AK56" s="29">
        <f t="shared" si="55"/>
        <v>0.42809157428620126</v>
      </c>
      <c r="AL56" s="29">
        <f t="shared" si="55"/>
        <v>-0.11696792571132253</v>
      </c>
      <c r="AM56" s="29">
        <f t="shared" si="55"/>
        <v>0.12838376061625434</v>
      </c>
      <c r="AN56" s="29">
        <f t="shared" si="55"/>
        <v>0.24436051309217888</v>
      </c>
      <c r="AO56" s="29">
        <f t="shared" si="55"/>
        <v>-0.11593784720384293</v>
      </c>
    </row>
    <row r="57" spans="1:41" x14ac:dyDescent="0.2">
      <c r="C57" s="6"/>
      <c r="D57" s="6"/>
      <c r="E57" s="3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AG57" s="8"/>
      <c r="AH57" s="8"/>
      <c r="AI57" s="8"/>
      <c r="AJ57" s="8"/>
      <c r="AK57" s="8"/>
      <c r="AL57" s="8"/>
      <c r="AM57" s="8"/>
      <c r="AN57" s="8"/>
      <c r="AO57" s="8"/>
    </row>
    <row r="58" spans="1:41" x14ac:dyDescent="0.2">
      <c r="B58" s="1" t="s">
        <v>13</v>
      </c>
      <c r="C58" s="6">
        <v>8078.2</v>
      </c>
      <c r="D58" s="6">
        <v>14857.6</v>
      </c>
      <c r="E58" s="38">
        <v>17030.8</v>
      </c>
      <c r="F58" s="6">
        <v>34045.9</v>
      </c>
      <c r="G58" s="6">
        <v>24189.5</v>
      </c>
      <c r="H58" s="6">
        <v>21682.730353250001</v>
      </c>
      <c r="I58" s="6">
        <v>17806.030347610002</v>
      </c>
      <c r="J58" s="27">
        <v>21191.53988937</v>
      </c>
      <c r="K58" s="6">
        <v>32174.462563050001</v>
      </c>
      <c r="L58" s="6">
        <v>31649.905135390003</v>
      </c>
      <c r="M58" s="6">
        <v>28720.708373219997</v>
      </c>
      <c r="N58" s="6">
        <v>30523.921836629997</v>
      </c>
      <c r="O58" s="6">
        <v>24232.06527748</v>
      </c>
      <c r="P58" s="6">
        <v>18592.958542020002</v>
      </c>
      <c r="Q58" s="6">
        <v>25266.06098061</v>
      </c>
      <c r="R58" s="6">
        <v>122458.78634837999</v>
      </c>
      <c r="S58" s="6">
        <v>95429.66259267999</v>
      </c>
      <c r="T58" s="6">
        <v>135223.29591630999</v>
      </c>
      <c r="U58" s="6">
        <v>117987.86331864998</v>
      </c>
      <c r="V58" s="6">
        <v>110384.93937748</v>
      </c>
      <c r="W58" s="31">
        <f t="shared" si="5"/>
        <v>0.83922160877423191</v>
      </c>
      <c r="X58" s="31">
        <f t="shared" ref="X58:AG63" si="56">+E58/D58-1</f>
        <v>0.14626857635149682</v>
      </c>
      <c r="Y58" s="31">
        <f t="shared" si="56"/>
        <v>0.9990781407802336</v>
      </c>
      <c r="Z58" s="31">
        <f t="shared" si="56"/>
        <v>-0.2895032882079781</v>
      </c>
      <c r="AA58" s="31">
        <f t="shared" si="56"/>
        <v>-0.10363048623369642</v>
      </c>
      <c r="AB58" s="31">
        <f t="shared" si="56"/>
        <v>-0.17879205904799367</v>
      </c>
      <c r="AC58" s="31">
        <f t="shared" si="56"/>
        <v>0.19013275141443398</v>
      </c>
      <c r="AD58" s="31">
        <f t="shared" si="56"/>
        <v>0.51826921172392959</v>
      </c>
      <c r="AE58" s="31">
        <f t="shared" si="56"/>
        <v>-1.6303533481936472E-2</v>
      </c>
      <c r="AF58" s="31">
        <f t="shared" si="56"/>
        <v>-9.2549938132189369E-2</v>
      </c>
      <c r="AG58" s="31">
        <f t="shared" si="56"/>
        <v>6.2784435536115346E-2</v>
      </c>
      <c r="AH58" s="31">
        <f t="shared" ref="AH58:AO63" si="57">+O58/N58-1</f>
        <v>-0.20612870760268764</v>
      </c>
      <c r="AI58" s="31">
        <f t="shared" si="57"/>
        <v>-0.23271259262827615</v>
      </c>
      <c r="AJ58" s="31">
        <f t="shared" si="57"/>
        <v>0.35890481998918133</v>
      </c>
      <c r="AK58" s="31">
        <f t="shared" si="57"/>
        <v>3.8467699987884485</v>
      </c>
      <c r="AL58" s="31">
        <f t="shared" si="57"/>
        <v>-0.22072016685520224</v>
      </c>
      <c r="AM58" s="31">
        <f t="shared" si="57"/>
        <v>0.41699438353334806</v>
      </c>
      <c r="AN58" s="31">
        <f t="shared" si="57"/>
        <v>-0.12745904824215393</v>
      </c>
      <c r="AO58" s="31">
        <f t="shared" si="57"/>
        <v>-6.4438186499205852E-2</v>
      </c>
    </row>
    <row r="59" spans="1:41" x14ac:dyDescent="0.2">
      <c r="B59" s="1" t="s">
        <v>5</v>
      </c>
      <c r="C59" s="5">
        <f>+C60+C61+C62+C63</f>
        <v>29216.699999999997</v>
      </c>
      <c r="D59" s="5">
        <f t="shared" ref="D59:L59" si="58">+D60+D61+D62+D63</f>
        <v>58281.3</v>
      </c>
      <c r="E59" s="39">
        <f t="shared" si="58"/>
        <v>121729.60000000001</v>
      </c>
      <c r="F59" s="5">
        <f t="shared" si="58"/>
        <v>109750.39999999999</v>
      </c>
      <c r="G59" s="5">
        <f t="shared" si="58"/>
        <v>131242.19999999998</v>
      </c>
      <c r="H59" s="5">
        <f t="shared" si="58"/>
        <v>114836.16171462</v>
      </c>
      <c r="I59" s="5">
        <f t="shared" si="58"/>
        <v>133476.76615933</v>
      </c>
      <c r="J59" s="5">
        <f t="shared" si="58"/>
        <v>144845.40124501</v>
      </c>
      <c r="K59" s="5">
        <f t="shared" si="58"/>
        <v>216351.39322642004</v>
      </c>
      <c r="L59" s="5">
        <f t="shared" si="58"/>
        <v>207198.89462912001</v>
      </c>
      <c r="M59" s="5">
        <f t="shared" ref="M59:W59" si="59">+M60+M61+M62+M63</f>
        <v>163432.7292146</v>
      </c>
      <c r="N59" s="5">
        <f t="shared" si="59"/>
        <v>227284.60511944001</v>
      </c>
      <c r="O59" s="5">
        <f t="shared" si="59"/>
        <v>209325.68516160001</v>
      </c>
      <c r="P59" s="5">
        <f t="shared" si="59"/>
        <v>289498.77213588997</v>
      </c>
      <c r="Q59" s="5">
        <f t="shared" si="59"/>
        <v>179734.78323974001</v>
      </c>
      <c r="R59" s="5">
        <f t="shared" si="59"/>
        <v>170301.19200425997</v>
      </c>
      <c r="S59" s="5">
        <f t="shared" si="59"/>
        <v>163086.78836075997</v>
      </c>
      <c r="T59" s="5">
        <f t="shared" si="59"/>
        <v>156482.46919170005</v>
      </c>
      <c r="U59" s="5">
        <f t="shared" si="59"/>
        <v>244999.27222310001</v>
      </c>
      <c r="V59" s="5">
        <f t="shared" si="59"/>
        <v>210518.24910686997</v>
      </c>
      <c r="W59" s="5">
        <f t="shared" si="59"/>
        <v>1.5468383041798743</v>
      </c>
      <c r="X59" s="32">
        <f t="shared" si="56"/>
        <v>1.0886562242091373</v>
      </c>
      <c r="Y59" s="32">
        <f t="shared" si="56"/>
        <v>-9.8408275390702071E-2</v>
      </c>
      <c r="Z59" s="32">
        <f t="shared" si="56"/>
        <v>0.1958243432370177</v>
      </c>
      <c r="AA59" s="32">
        <f t="shared" si="56"/>
        <v>-0.12500581585328485</v>
      </c>
      <c r="AB59" s="32">
        <f t="shared" si="56"/>
        <v>0.16232347168685313</v>
      </c>
      <c r="AC59" s="32">
        <f t="shared" si="56"/>
        <v>8.5173138462984355E-2</v>
      </c>
      <c r="AD59" s="32">
        <f t="shared" si="56"/>
        <v>0.49367112360340437</v>
      </c>
      <c r="AE59" s="32">
        <f t="shared" si="56"/>
        <v>-4.2303857908239095E-2</v>
      </c>
      <c r="AF59" s="32">
        <f t="shared" si="56"/>
        <v>-0.21122779391685553</v>
      </c>
      <c r="AG59" s="32">
        <f t="shared" si="56"/>
        <v>0.39069209828220819</v>
      </c>
      <c r="AH59" s="32">
        <f t="shared" si="57"/>
        <v>-7.9015118284858854E-2</v>
      </c>
      <c r="AI59" s="32">
        <f t="shared" si="57"/>
        <v>0.38300644716579391</v>
      </c>
      <c r="AJ59" s="32">
        <f t="shared" si="57"/>
        <v>-0.37915182881890441</v>
      </c>
      <c r="AK59" s="32">
        <f t="shared" si="57"/>
        <v>-5.2486174714979961E-2</v>
      </c>
      <c r="AL59" s="32">
        <f t="shared" si="57"/>
        <v>-4.2362613899493695E-2</v>
      </c>
      <c r="AM59" s="32">
        <f t="shared" si="57"/>
        <v>-4.0495733808005863E-2</v>
      </c>
      <c r="AN59" s="32">
        <f t="shared" si="57"/>
        <v>0.56566594001633352</v>
      </c>
      <c r="AO59" s="32">
        <f t="shared" si="57"/>
        <v>-0.14073928793074575</v>
      </c>
    </row>
    <row r="60" spans="1:41" x14ac:dyDescent="0.2">
      <c r="B60" s="1" t="s">
        <v>6</v>
      </c>
      <c r="C60" s="6">
        <v>270.10000000000002</v>
      </c>
      <c r="D60" s="6">
        <v>73.3</v>
      </c>
      <c r="E60" s="38">
        <v>355.9</v>
      </c>
      <c r="F60" s="6">
        <v>2935.6</v>
      </c>
      <c r="G60" s="6">
        <v>11240.9</v>
      </c>
      <c r="H60" s="6">
        <v>2239.4824356700001</v>
      </c>
      <c r="I60" s="6">
        <v>7302.1246480000009</v>
      </c>
      <c r="J60" s="27">
        <v>5028.5386850000004</v>
      </c>
      <c r="K60" s="6">
        <v>4917.8521309999996</v>
      </c>
      <c r="L60" s="6">
        <v>5011.5432200000005</v>
      </c>
      <c r="M60" s="6">
        <v>6869.1785308200006</v>
      </c>
      <c r="N60" s="6">
        <v>6106.8346372699998</v>
      </c>
      <c r="O60" s="6">
        <v>7709.5898096399997</v>
      </c>
      <c r="P60" s="6">
        <v>8656.6041892400008</v>
      </c>
      <c r="Q60" s="6">
        <v>7418.4774704699994</v>
      </c>
      <c r="R60" s="6">
        <v>9257.6718599699998</v>
      </c>
      <c r="S60" s="6">
        <v>6100.7256342600003</v>
      </c>
      <c r="T60" s="6">
        <v>1192.6183527400001</v>
      </c>
      <c r="U60" s="6">
        <v>1947.5218843099999</v>
      </c>
      <c r="V60" s="6">
        <v>1511.54798815</v>
      </c>
      <c r="W60" s="31">
        <f t="shared" si="5"/>
        <v>-0.72861902998889305</v>
      </c>
      <c r="X60" s="31">
        <f t="shared" si="56"/>
        <v>3.8553888130968623</v>
      </c>
      <c r="Y60" s="31">
        <f t="shared" si="56"/>
        <v>7.2483843776341672</v>
      </c>
      <c r="Z60" s="31">
        <f t="shared" si="56"/>
        <v>2.829166098923559</v>
      </c>
      <c r="AA60" s="31">
        <f t="shared" si="56"/>
        <v>-0.80077374270120716</v>
      </c>
      <c r="AB60" s="31">
        <f t="shared" si="56"/>
        <v>2.2606304616161808</v>
      </c>
      <c r="AC60" s="31">
        <f t="shared" si="56"/>
        <v>-0.31135951145708241</v>
      </c>
      <c r="AD60" s="31">
        <f t="shared" si="56"/>
        <v>-2.2011673954140165E-2</v>
      </c>
      <c r="AE60" s="31">
        <f t="shared" si="56"/>
        <v>1.9051221245432126E-2</v>
      </c>
      <c r="AF60" s="31">
        <f t="shared" si="56"/>
        <v>0.37067131405882603</v>
      </c>
      <c r="AG60" s="31">
        <f t="shared" si="56"/>
        <v>-0.11098035815048135</v>
      </c>
      <c r="AH60" s="31">
        <f t="shared" si="57"/>
        <v>0.26245268908844999</v>
      </c>
      <c r="AI60" s="31">
        <f t="shared" si="57"/>
        <v>0.12283589697805497</v>
      </c>
      <c r="AJ60" s="31">
        <f t="shared" si="57"/>
        <v>-0.14302683727979271</v>
      </c>
      <c r="AK60" s="31">
        <f t="shared" si="57"/>
        <v>0.247920735328927</v>
      </c>
      <c r="AL60" s="31">
        <f t="shared" si="57"/>
        <v>-0.34100865460144203</v>
      </c>
      <c r="AM60" s="31">
        <f t="shared" si="57"/>
        <v>-0.8045120491827098</v>
      </c>
      <c r="AN60" s="31">
        <f t="shared" si="57"/>
        <v>0.63297997203852741</v>
      </c>
      <c r="AO60" s="31">
        <f t="shared" si="57"/>
        <v>-0.22386084576115761</v>
      </c>
    </row>
    <row r="61" spans="1:41" x14ac:dyDescent="0.2">
      <c r="B61" s="1" t="s">
        <v>7</v>
      </c>
      <c r="C61" s="6">
        <f>26308-2000</f>
        <v>24308</v>
      </c>
      <c r="D61" s="6">
        <f>60408.6-2625</f>
        <v>57783.6</v>
      </c>
      <c r="E61" s="38">
        <f>121222.3-2572</f>
        <v>118650.3</v>
      </c>
      <c r="F61" s="6">
        <f>98409.4-1818.3</f>
        <v>96591.099999999991</v>
      </c>
      <c r="G61" s="6">
        <f>112396.2-2250</f>
        <v>110146.2</v>
      </c>
      <c r="H61" s="6">
        <f>99506.9345596-3375</f>
        <v>96131.934559600006</v>
      </c>
      <c r="I61" s="6">
        <v>123324.96032717</v>
      </c>
      <c r="J61" s="27">
        <v>108286.78885954</v>
      </c>
      <c r="K61" s="6">
        <v>165831.69471111003</v>
      </c>
      <c r="L61" s="6">
        <v>132644.92578669</v>
      </c>
      <c r="M61" s="6">
        <f>110417.92544052+519.375</f>
        <v>110937.30044052</v>
      </c>
      <c r="N61" s="6">
        <v>212465.54965443001</v>
      </c>
      <c r="O61" s="6">
        <v>187389.87983813</v>
      </c>
      <c r="P61" s="6">
        <v>191704.81064963999</v>
      </c>
      <c r="Q61" s="6">
        <v>165504.89526175999</v>
      </c>
      <c r="R61" s="6">
        <v>128209.33542863998</v>
      </c>
      <c r="S61" s="6">
        <v>130148.24513337997</v>
      </c>
      <c r="T61" s="6">
        <v>146698.22483177003</v>
      </c>
      <c r="U61" s="6">
        <v>193513.64741603</v>
      </c>
      <c r="V61" s="6">
        <v>181727.81153831998</v>
      </c>
      <c r="W61" s="31">
        <f t="shared" si="5"/>
        <v>1.3771433272996543</v>
      </c>
      <c r="X61" s="31">
        <f t="shared" si="56"/>
        <v>1.0533559695138415</v>
      </c>
      <c r="Y61" s="31">
        <f t="shared" si="56"/>
        <v>-0.18591777686192124</v>
      </c>
      <c r="Z61" s="31">
        <f t="shared" si="56"/>
        <v>0.14033487557342239</v>
      </c>
      <c r="AA61" s="31">
        <f t="shared" si="56"/>
        <v>-0.12723330846093639</v>
      </c>
      <c r="AB61" s="31">
        <f t="shared" si="56"/>
        <v>0.28287192900201985</v>
      </c>
      <c r="AC61" s="31">
        <f t="shared" si="56"/>
        <v>-0.12193939838079082</v>
      </c>
      <c r="AD61" s="31">
        <f t="shared" si="56"/>
        <v>0.53141206288988929</v>
      </c>
      <c r="AE61" s="31">
        <f t="shared" si="56"/>
        <v>-0.20012319708987847</v>
      </c>
      <c r="AF61" s="31">
        <f t="shared" si="56"/>
        <v>-0.16365213533368506</v>
      </c>
      <c r="AG61" s="31">
        <f t="shared" si="56"/>
        <v>0.91518586454467821</v>
      </c>
      <c r="AH61" s="31">
        <f t="shared" si="57"/>
        <v>-0.11802228576390372</v>
      </c>
      <c r="AI61" s="31">
        <f t="shared" si="57"/>
        <v>2.3026487957819697E-2</v>
      </c>
      <c r="AJ61" s="31">
        <f t="shared" si="57"/>
        <v>-0.13666801213331581</v>
      </c>
      <c r="AK61" s="31">
        <f t="shared" si="57"/>
        <v>-0.22534414933246483</v>
      </c>
      <c r="AL61" s="31">
        <f t="shared" si="57"/>
        <v>1.512299941543005E-2</v>
      </c>
      <c r="AM61" s="31">
        <f t="shared" si="57"/>
        <v>0.12716252671274297</v>
      </c>
      <c r="AN61" s="31">
        <f t="shared" si="57"/>
        <v>0.31912739665355017</v>
      </c>
      <c r="AO61" s="31">
        <f t="shared" si="57"/>
        <v>-6.0904417001514943E-2</v>
      </c>
    </row>
    <row r="62" spans="1:41" x14ac:dyDescent="0.2">
      <c r="B62" s="1" t="s">
        <v>8</v>
      </c>
      <c r="C62" s="6">
        <v>17.5</v>
      </c>
      <c r="D62" s="6">
        <v>49.3</v>
      </c>
      <c r="E62" s="38">
        <v>49.6</v>
      </c>
      <c r="F62" s="6">
        <v>58.3</v>
      </c>
      <c r="G62" s="6">
        <v>0</v>
      </c>
      <c r="H62" s="6">
        <v>0</v>
      </c>
      <c r="I62" s="6">
        <v>0</v>
      </c>
      <c r="J62" s="27">
        <v>0</v>
      </c>
      <c r="K62" s="6">
        <v>0</v>
      </c>
      <c r="L62" s="6">
        <v>0</v>
      </c>
      <c r="M62" s="6">
        <v>0</v>
      </c>
      <c r="N62" s="6">
        <v>0</v>
      </c>
      <c r="O62" s="6">
        <v>413.02341775999997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31">
        <f t="shared" si="5"/>
        <v>1.8171428571428572</v>
      </c>
      <c r="X62" s="31">
        <f t="shared" si="56"/>
        <v>6.0851926977687487E-3</v>
      </c>
      <c r="Y62" s="31">
        <f t="shared" si="56"/>
        <v>0.17540322580645151</v>
      </c>
      <c r="Z62" s="31">
        <f t="shared" si="56"/>
        <v>-1</v>
      </c>
      <c r="AA62" s="59" t="e">
        <f t="shared" si="56"/>
        <v>#DIV/0!</v>
      </c>
      <c r="AB62" s="59" t="e">
        <f t="shared" si="56"/>
        <v>#DIV/0!</v>
      </c>
      <c r="AC62" s="59" t="e">
        <f t="shared" si="56"/>
        <v>#DIV/0!</v>
      </c>
      <c r="AD62" s="59" t="e">
        <f t="shared" si="56"/>
        <v>#DIV/0!</v>
      </c>
      <c r="AE62" s="59" t="e">
        <f t="shared" si="56"/>
        <v>#DIV/0!</v>
      </c>
      <c r="AF62" s="59" t="e">
        <f t="shared" si="56"/>
        <v>#DIV/0!</v>
      </c>
      <c r="AG62" s="59" t="e">
        <f t="shared" si="56"/>
        <v>#DIV/0!</v>
      </c>
      <c r="AH62" s="59" t="e">
        <f t="shared" si="57"/>
        <v>#DIV/0!</v>
      </c>
      <c r="AI62" s="31">
        <f t="shared" si="57"/>
        <v>-1</v>
      </c>
      <c r="AJ62" s="59" t="e">
        <f t="shared" si="57"/>
        <v>#DIV/0!</v>
      </c>
      <c r="AK62" s="59" t="e">
        <f t="shared" si="57"/>
        <v>#DIV/0!</v>
      </c>
      <c r="AL62" s="59" t="e">
        <f t="shared" si="57"/>
        <v>#DIV/0!</v>
      </c>
      <c r="AM62" s="59" t="e">
        <f t="shared" si="57"/>
        <v>#DIV/0!</v>
      </c>
      <c r="AN62" s="59" t="e">
        <f t="shared" si="57"/>
        <v>#DIV/0!</v>
      </c>
      <c r="AO62" s="59" t="e">
        <f t="shared" si="57"/>
        <v>#DIV/0!</v>
      </c>
    </row>
    <row r="63" spans="1:41" x14ac:dyDescent="0.2">
      <c r="B63" s="17" t="s">
        <v>39</v>
      </c>
      <c r="C63" s="6">
        <v>4621.1000000000004</v>
      </c>
      <c r="D63" s="6">
        <v>375.1</v>
      </c>
      <c r="E63" s="38">
        <v>2673.7999999999997</v>
      </c>
      <c r="F63" s="6">
        <v>10165.4</v>
      </c>
      <c r="G63" s="6">
        <v>9855.1</v>
      </c>
      <c r="H63" s="6">
        <v>16464.744719349997</v>
      </c>
      <c r="I63" s="6">
        <v>2849.6811841600002</v>
      </c>
      <c r="J63" s="27">
        <v>31530.073700469999</v>
      </c>
      <c r="K63" s="6">
        <v>45601.846384310003</v>
      </c>
      <c r="L63" s="6">
        <v>69542.425622430004</v>
      </c>
      <c r="M63" s="6">
        <f>46145.62524326-519.375</f>
        <v>45626.250243260001</v>
      </c>
      <c r="N63" s="6">
        <v>8712.2208277400005</v>
      </c>
      <c r="O63" s="6">
        <v>13813.192096070001</v>
      </c>
      <c r="P63" s="6">
        <v>89137.357297009992</v>
      </c>
      <c r="Q63" s="6">
        <v>6811.4105075100006</v>
      </c>
      <c r="R63" s="6">
        <v>32834.184715650001</v>
      </c>
      <c r="S63" s="6">
        <v>26837.817593120002</v>
      </c>
      <c r="T63" s="6">
        <v>8591.6260071899997</v>
      </c>
      <c r="U63" s="6">
        <v>49538.102922759994</v>
      </c>
      <c r="V63" s="6">
        <v>27278.889580399999</v>
      </c>
      <c r="W63" s="31">
        <f t="shared" si="5"/>
        <v>-0.91882885027374439</v>
      </c>
      <c r="X63" s="31">
        <f t="shared" si="56"/>
        <v>6.1282324713409748</v>
      </c>
      <c r="Y63" s="31">
        <f t="shared" si="56"/>
        <v>2.8018550377739548</v>
      </c>
      <c r="Z63" s="31">
        <f t="shared" si="56"/>
        <v>-3.0525114604442405E-2</v>
      </c>
      <c r="AA63" s="31">
        <f t="shared" si="56"/>
        <v>0.67068266373248342</v>
      </c>
      <c r="AB63" s="31">
        <f t="shared" si="56"/>
        <v>-0.82692223701403966</v>
      </c>
      <c r="AC63" s="31">
        <f t="shared" si="56"/>
        <v>10.064421478350081</v>
      </c>
      <c r="AD63" s="31">
        <f t="shared" si="56"/>
        <v>0.44629685352211035</v>
      </c>
      <c r="AE63" s="31">
        <f t="shared" si="56"/>
        <v>0.52499144522264585</v>
      </c>
      <c r="AF63" s="31">
        <f t="shared" si="56"/>
        <v>-0.34390769613098093</v>
      </c>
      <c r="AG63" s="31">
        <f t="shared" si="56"/>
        <v>-0.8090524471923487</v>
      </c>
      <c r="AH63" s="31">
        <f t="shared" si="57"/>
        <v>0.58549609441582784</v>
      </c>
      <c r="AI63" s="31">
        <f t="shared" si="57"/>
        <v>5.4530599934515145</v>
      </c>
      <c r="AJ63" s="31">
        <f t="shared" si="57"/>
        <v>-0.92358523166875983</v>
      </c>
      <c r="AK63" s="31">
        <f t="shared" si="57"/>
        <v>3.8204677547254402</v>
      </c>
      <c r="AL63" s="31">
        <f t="shared" si="57"/>
        <v>-0.18262573517386305</v>
      </c>
      <c r="AM63" s="31">
        <f t="shared" si="57"/>
        <v>-0.67986867868896672</v>
      </c>
      <c r="AN63" s="31">
        <f t="shared" si="57"/>
        <v>4.7658588585331199</v>
      </c>
      <c r="AO63" s="31">
        <f t="shared" si="57"/>
        <v>-0.44933519915097775</v>
      </c>
    </row>
    <row r="64" spans="1:41" x14ac:dyDescent="0.2">
      <c r="B64" s="17"/>
      <c r="C64" s="6"/>
      <c r="D64" s="6"/>
      <c r="E64" s="38"/>
      <c r="F64" s="6"/>
      <c r="G64" s="6"/>
      <c r="H64" s="6"/>
      <c r="I64" s="6"/>
      <c r="J64" s="2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</row>
    <row r="65" spans="1:41" x14ac:dyDescent="0.2">
      <c r="B65" s="7" t="s">
        <v>57</v>
      </c>
      <c r="C65" s="6">
        <f t="shared" ref="C65:K65" si="60">C66-C67</f>
        <v>2536.71710841</v>
      </c>
      <c r="D65" s="6">
        <f t="shared" si="60"/>
        <v>2535.71710841</v>
      </c>
      <c r="E65" s="6">
        <f t="shared" si="60"/>
        <v>2534.71710841</v>
      </c>
      <c r="F65" s="6">
        <f t="shared" si="60"/>
        <v>0</v>
      </c>
      <c r="G65" s="6">
        <f t="shared" si="60"/>
        <v>0</v>
      </c>
      <c r="H65" s="6">
        <f t="shared" si="60"/>
        <v>0</v>
      </c>
      <c r="I65" s="6">
        <f t="shared" si="60"/>
        <v>0</v>
      </c>
      <c r="J65" s="6">
        <f t="shared" si="60"/>
        <v>0</v>
      </c>
      <c r="K65" s="6">
        <f t="shared" si="60"/>
        <v>0</v>
      </c>
      <c r="L65" s="6">
        <f t="shared" ref="L65:V65" si="61">L66-L67</f>
        <v>2527.71710841</v>
      </c>
      <c r="M65" s="6">
        <f t="shared" si="61"/>
        <v>2565.6840229899999</v>
      </c>
      <c r="N65" s="6">
        <f t="shared" si="61"/>
        <v>660.15740000000005</v>
      </c>
      <c r="O65" s="6">
        <f t="shared" si="61"/>
        <v>673.14005049000002</v>
      </c>
      <c r="P65" s="6">
        <f t="shared" si="61"/>
        <v>30843.892763330001</v>
      </c>
      <c r="Q65" s="6">
        <f t="shared" si="61"/>
        <v>0</v>
      </c>
      <c r="R65" s="6">
        <f t="shared" si="61"/>
        <v>3901.5</v>
      </c>
      <c r="S65" s="6">
        <f t="shared" si="61"/>
        <v>4038.62586792</v>
      </c>
      <c r="T65" s="6">
        <f t="shared" si="61"/>
        <v>4649.5974864199998</v>
      </c>
      <c r="U65" s="6">
        <f t="shared" si="61"/>
        <v>3730.82</v>
      </c>
      <c r="V65" s="6">
        <f t="shared" si="61"/>
        <v>5610.9459999999999</v>
      </c>
      <c r="W65" s="31">
        <f t="shared" si="5"/>
        <v>-3.9421029514274952E-4</v>
      </c>
      <c r="X65" s="31">
        <f t="shared" ref="X65:AO67" si="62">+E65/D65-1</f>
        <v>-3.9436575818474484E-4</v>
      </c>
      <c r="Y65" s="31">
        <f t="shared" si="62"/>
        <v>-1</v>
      </c>
      <c r="Z65" s="59" t="e">
        <f t="shared" si="62"/>
        <v>#DIV/0!</v>
      </c>
      <c r="AA65" s="59" t="e">
        <f t="shared" si="62"/>
        <v>#DIV/0!</v>
      </c>
      <c r="AB65" s="59" t="e">
        <f t="shared" si="62"/>
        <v>#DIV/0!</v>
      </c>
      <c r="AC65" s="59" t="e">
        <f t="shared" si="62"/>
        <v>#DIV/0!</v>
      </c>
      <c r="AD65" s="59" t="e">
        <f t="shared" si="62"/>
        <v>#DIV/0!</v>
      </c>
      <c r="AE65" s="59" t="e">
        <f t="shared" si="62"/>
        <v>#DIV/0!</v>
      </c>
      <c r="AF65" s="31">
        <f t="shared" si="62"/>
        <v>1.5020238797165852E-2</v>
      </c>
      <c r="AG65" s="31">
        <f t="shared" si="62"/>
        <v>-0.74269731031389241</v>
      </c>
      <c r="AH65" s="31">
        <f t="shared" si="62"/>
        <v>1.9665992519359632E-2</v>
      </c>
      <c r="AI65" s="31">
        <f t="shared" si="62"/>
        <v>44.820914594039905</v>
      </c>
      <c r="AJ65" s="31">
        <f t="shared" si="62"/>
        <v>-1</v>
      </c>
      <c r="AK65" s="31" t="e">
        <f t="shared" si="62"/>
        <v>#DIV/0!</v>
      </c>
      <c r="AL65" s="31">
        <f t="shared" si="62"/>
        <v>3.5146960891964563E-2</v>
      </c>
      <c r="AM65" s="31">
        <f t="shared" si="62"/>
        <v>0.15128205446142662</v>
      </c>
      <c r="AN65" s="31">
        <f t="shared" si="62"/>
        <v>-0.19760366119937423</v>
      </c>
      <c r="AO65" s="31">
        <f t="shared" si="62"/>
        <v>0.50394444116842929</v>
      </c>
    </row>
    <row r="66" spans="1:41" x14ac:dyDescent="0.2">
      <c r="B66" s="53" t="s">
        <v>58</v>
      </c>
      <c r="C66" s="6">
        <v>2536.71710841</v>
      </c>
      <c r="D66" s="6">
        <v>2535.71710841</v>
      </c>
      <c r="E66" s="6">
        <v>2534.71710841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2527.71710841</v>
      </c>
      <c r="M66" s="6">
        <v>2565.6840229899999</v>
      </c>
      <c r="N66" s="6">
        <v>660.15740000000005</v>
      </c>
      <c r="O66" s="6">
        <v>673.14005049000002</v>
      </c>
      <c r="P66" s="6">
        <v>30843.892763330001</v>
      </c>
      <c r="Q66" s="6">
        <v>0</v>
      </c>
      <c r="R66" s="6">
        <v>3901.5</v>
      </c>
      <c r="S66" s="6">
        <v>4038.62586792</v>
      </c>
      <c r="T66" s="6">
        <v>4649.5974864199998</v>
      </c>
      <c r="U66" s="6">
        <v>3730.82</v>
      </c>
      <c r="V66" s="6">
        <v>5610.9459999999999</v>
      </c>
      <c r="W66" s="31">
        <f t="shared" si="5"/>
        <v>-3.9421029514274952E-4</v>
      </c>
      <c r="X66" s="31">
        <f t="shared" si="62"/>
        <v>-3.9436575818474484E-4</v>
      </c>
      <c r="Y66" s="31">
        <f t="shared" si="62"/>
        <v>-1</v>
      </c>
      <c r="Z66" s="59" t="e">
        <f t="shared" si="62"/>
        <v>#DIV/0!</v>
      </c>
      <c r="AA66" s="59" t="e">
        <f t="shared" si="62"/>
        <v>#DIV/0!</v>
      </c>
      <c r="AB66" s="59" t="e">
        <f t="shared" si="62"/>
        <v>#DIV/0!</v>
      </c>
      <c r="AC66" s="59" t="e">
        <f t="shared" si="62"/>
        <v>#DIV/0!</v>
      </c>
      <c r="AD66" s="59" t="e">
        <f t="shared" si="62"/>
        <v>#DIV/0!</v>
      </c>
      <c r="AE66" s="59" t="e">
        <f t="shared" si="62"/>
        <v>#DIV/0!</v>
      </c>
      <c r="AF66" s="31">
        <f t="shared" si="62"/>
        <v>1.5020238797165852E-2</v>
      </c>
      <c r="AG66" s="31">
        <f t="shared" si="62"/>
        <v>-0.74269731031389241</v>
      </c>
      <c r="AH66" s="31">
        <f t="shared" si="62"/>
        <v>1.9665992519359632E-2</v>
      </c>
      <c r="AI66" s="31">
        <f t="shared" si="62"/>
        <v>44.820914594039905</v>
      </c>
      <c r="AJ66" s="31">
        <f t="shared" si="62"/>
        <v>-1</v>
      </c>
      <c r="AK66" s="31" t="e">
        <f t="shared" si="62"/>
        <v>#DIV/0!</v>
      </c>
      <c r="AL66" s="31">
        <f t="shared" si="62"/>
        <v>3.5146960891964563E-2</v>
      </c>
      <c r="AM66" s="31">
        <f t="shared" si="62"/>
        <v>0.15128205446142662</v>
      </c>
      <c r="AN66" s="31">
        <f t="shared" si="62"/>
        <v>-0.19760366119937423</v>
      </c>
      <c r="AO66" s="31">
        <f t="shared" si="62"/>
        <v>0.50394444116842929</v>
      </c>
    </row>
    <row r="67" spans="1:41" x14ac:dyDescent="0.2">
      <c r="B67" s="1" t="s">
        <v>59</v>
      </c>
      <c r="C67" s="6"/>
      <c r="D67" s="6"/>
      <c r="E67" s="6"/>
      <c r="F67" s="6"/>
      <c r="G67" s="6"/>
      <c r="H67" s="6">
        <v>0</v>
      </c>
      <c r="I67" s="6">
        <v>0</v>
      </c>
      <c r="J67" s="27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114" t="e">
        <f>+D67/C67-1</f>
        <v>#DIV/0!</v>
      </c>
      <c r="X67" s="114" t="e">
        <f t="shared" si="62"/>
        <v>#DIV/0!</v>
      </c>
      <c r="Y67" s="114" t="e">
        <f t="shared" si="62"/>
        <v>#DIV/0!</v>
      </c>
      <c r="Z67" s="114" t="e">
        <f t="shared" si="62"/>
        <v>#DIV/0!</v>
      </c>
      <c r="AA67" s="114" t="e">
        <f t="shared" si="62"/>
        <v>#DIV/0!</v>
      </c>
      <c r="AB67" s="114" t="e">
        <f t="shared" si="62"/>
        <v>#DIV/0!</v>
      </c>
      <c r="AC67" s="114" t="e">
        <f t="shared" si="62"/>
        <v>#DIV/0!</v>
      </c>
      <c r="AD67" s="114" t="e">
        <f t="shared" si="62"/>
        <v>#DIV/0!</v>
      </c>
      <c r="AE67" s="114" t="e">
        <f t="shared" si="62"/>
        <v>#DIV/0!</v>
      </c>
      <c r="AF67" s="114" t="e">
        <f t="shared" si="62"/>
        <v>#DIV/0!</v>
      </c>
      <c r="AG67" s="114" t="e">
        <f t="shared" si="62"/>
        <v>#DIV/0!</v>
      </c>
      <c r="AH67" s="114" t="e">
        <f t="shared" si="62"/>
        <v>#DIV/0!</v>
      </c>
      <c r="AI67" s="114" t="e">
        <f t="shared" si="62"/>
        <v>#DIV/0!</v>
      </c>
      <c r="AJ67" s="114" t="e">
        <f t="shared" si="62"/>
        <v>#DIV/0!</v>
      </c>
      <c r="AK67" s="114" t="e">
        <f t="shared" si="62"/>
        <v>#DIV/0!</v>
      </c>
      <c r="AL67" s="114" t="e">
        <f t="shared" si="62"/>
        <v>#DIV/0!</v>
      </c>
      <c r="AM67" s="114" t="e">
        <f t="shared" si="62"/>
        <v>#DIV/0!</v>
      </c>
      <c r="AN67" s="114" t="e">
        <f t="shared" si="62"/>
        <v>#DIV/0!</v>
      </c>
      <c r="AO67" s="114" t="e">
        <f t="shared" si="62"/>
        <v>#DIV/0!</v>
      </c>
    </row>
    <row r="68" spans="1:41" x14ac:dyDescent="0.2">
      <c r="B68" s="2"/>
      <c r="C68" s="6"/>
      <c r="D68" s="6"/>
      <c r="E68" s="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x14ac:dyDescent="0.2">
      <c r="A69" s="4" t="s">
        <v>18</v>
      </c>
      <c r="B69" s="3" t="s">
        <v>22</v>
      </c>
      <c r="C69" s="21">
        <f t="shared" ref="C69:O69" si="63">+C9-C38</f>
        <v>215949.87782219995</v>
      </c>
      <c r="D69" s="21">
        <f t="shared" si="63"/>
        <v>321008.83724977996</v>
      </c>
      <c r="E69" s="21">
        <f t="shared" si="63"/>
        <v>376581.33345876005</v>
      </c>
      <c r="F69" s="21">
        <f t="shared" si="63"/>
        <v>-30044.788326769834</v>
      </c>
      <c r="G69" s="21">
        <f t="shared" si="63"/>
        <v>-226675.65612106002</v>
      </c>
      <c r="H69" s="21">
        <f t="shared" si="63"/>
        <v>-266831.65067446022</v>
      </c>
      <c r="I69" s="21">
        <f t="shared" si="63"/>
        <v>-281746.40509001981</v>
      </c>
      <c r="J69" s="21">
        <f t="shared" si="63"/>
        <v>-361018.05826185015</v>
      </c>
      <c r="K69" s="21">
        <f t="shared" si="63"/>
        <v>-476783.91256604949</v>
      </c>
      <c r="L69" s="21">
        <f t="shared" si="63"/>
        <v>-501863.745334181</v>
      </c>
      <c r="M69" s="21">
        <f t="shared" si="63"/>
        <v>-335561.93257009983</v>
      </c>
      <c r="N69" s="21">
        <f t="shared" si="63"/>
        <v>-397464.73810746986</v>
      </c>
      <c r="O69" s="21">
        <f t="shared" si="63"/>
        <v>-496992.06113687111</v>
      </c>
      <c r="P69" s="21">
        <f t="shared" ref="P69:V69" si="64">+P9-P38</f>
        <v>-560787.14803664014</v>
      </c>
      <c r="Q69" s="21">
        <f t="shared" si="64"/>
        <v>-718327.70687836967</v>
      </c>
      <c r="R69" s="21">
        <f t="shared" si="64"/>
        <v>100452.75338013005</v>
      </c>
      <c r="S69" s="21">
        <f t="shared" si="64"/>
        <v>712539.85911164992</v>
      </c>
      <c r="T69" s="21">
        <f t="shared" si="64"/>
        <v>655782.003730461</v>
      </c>
      <c r="U69" s="21">
        <f t="shared" si="64"/>
        <v>470683.40345280059</v>
      </c>
      <c r="V69" s="21">
        <f t="shared" si="64"/>
        <v>608881.7186702881</v>
      </c>
      <c r="W69" s="42">
        <f t="shared" si="5"/>
        <v>0.48649696164254919</v>
      </c>
      <c r="X69" s="42">
        <f t="shared" ref="X69:AO69" si="65">+E69/D69-1</f>
        <v>0.17311827513875766</v>
      </c>
      <c r="Y69" s="42">
        <f t="shared" si="65"/>
        <v>-1.0797829994673915</v>
      </c>
      <c r="Z69" s="42">
        <f t="shared" si="65"/>
        <v>6.5445915496463174</v>
      </c>
      <c r="AA69" s="42">
        <f t="shared" si="65"/>
        <v>0.17715177377474634</v>
      </c>
      <c r="AB69" s="42">
        <f t="shared" si="65"/>
        <v>5.5895746917054678E-2</v>
      </c>
      <c r="AC69" s="42">
        <f t="shared" si="65"/>
        <v>0.2813581708220998</v>
      </c>
      <c r="AD69" s="42">
        <f t="shared" si="65"/>
        <v>0.32066499626518175</v>
      </c>
      <c r="AE69" s="42">
        <f t="shared" si="65"/>
        <v>5.2602095219932865E-2</v>
      </c>
      <c r="AF69" s="42">
        <f t="shared" si="65"/>
        <v>-0.33136845271288551</v>
      </c>
      <c r="AG69" s="42">
        <f t="shared" si="65"/>
        <v>0.18447505372033923</v>
      </c>
      <c r="AH69" s="42">
        <f t="shared" si="65"/>
        <v>0.25040541584468867</v>
      </c>
      <c r="AI69" s="42">
        <f t="shared" si="65"/>
        <v>0.12836238621968632</v>
      </c>
      <c r="AJ69" s="42">
        <f t="shared" si="65"/>
        <v>0.28092754870237568</v>
      </c>
      <c r="AK69" s="42">
        <f t="shared" si="65"/>
        <v>-1.1398425153564891</v>
      </c>
      <c r="AL69" s="42">
        <f t="shared" si="65"/>
        <v>6.0932835102615828</v>
      </c>
      <c r="AM69" s="42">
        <f t="shared" si="65"/>
        <v>-7.9655691755898483E-2</v>
      </c>
      <c r="AN69" s="42">
        <f t="shared" si="65"/>
        <v>-0.28225629740479963</v>
      </c>
      <c r="AO69" s="42">
        <f t="shared" si="65"/>
        <v>0.29361204198767932</v>
      </c>
    </row>
    <row r="70" spans="1:41" ht="15" customHeight="1" x14ac:dyDescent="0.2">
      <c r="A70" s="5"/>
      <c r="B70" s="61" t="s">
        <v>55</v>
      </c>
      <c r="C70" s="62">
        <f t="shared" ref="C70:O70" si="66">+C69/C77</f>
        <v>1.8595016569094795E-2</v>
      </c>
      <c r="D70" s="62">
        <f t="shared" si="66"/>
        <v>2.3112363352707797E-2</v>
      </c>
      <c r="E70" s="62">
        <f t="shared" si="66"/>
        <v>2.323289044672024E-2</v>
      </c>
      <c r="F70" s="62">
        <f t="shared" si="66"/>
        <v>-1.7045578442968475E-3</v>
      </c>
      <c r="G70" s="62">
        <f t="shared" si="66"/>
        <v>-1.1447103059376204E-2</v>
      </c>
      <c r="H70" s="62">
        <f t="shared" si="66"/>
        <v>-1.2339877777115956E-2</v>
      </c>
      <c r="I70" s="62">
        <f t="shared" si="66"/>
        <v>-1.1861573851758679E-2</v>
      </c>
      <c r="J70" s="62">
        <f t="shared" si="66"/>
        <v>-1.4178168399273277E-2</v>
      </c>
      <c r="K70" s="62">
        <f t="shared" si="66"/>
        <v>-1.7027189545328895E-2</v>
      </c>
      <c r="L70" s="62">
        <f t="shared" si="66"/>
        <v>-1.650764236806665E-2</v>
      </c>
      <c r="M70" s="62">
        <f t="shared" si="66"/>
        <v>-1.0467897296047515E-2</v>
      </c>
      <c r="N70" s="62">
        <f t="shared" si="66"/>
        <v>-1.1573166132323886E-2</v>
      </c>
      <c r="O70" s="62">
        <f t="shared" si="66"/>
        <v>-1.3799692988768814E-2</v>
      </c>
      <c r="P70" s="62">
        <f t="shared" ref="P70:V70" si="67">+P69/P77</f>
        <v>-1.4823031495731711E-2</v>
      </c>
      <c r="Q70" s="62">
        <f t="shared" si="67"/>
        <v>-1.9682774707426062E-2</v>
      </c>
      <c r="R70" s="62">
        <f t="shared" si="67"/>
        <v>2.4909783830967631E-3</v>
      </c>
      <c r="S70" s="62">
        <f t="shared" si="67"/>
        <v>1.5901347300388807E-2</v>
      </c>
      <c r="T70" s="62">
        <f t="shared" si="67"/>
        <v>1.3935234717260693E-2</v>
      </c>
      <c r="U70" s="62">
        <f t="shared" si="67"/>
        <v>9.5831099688468424E-3</v>
      </c>
      <c r="V70" s="62">
        <f t="shared" si="67"/>
        <v>1.1780818951670859E-2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</row>
    <row r="71" spans="1:41" x14ac:dyDescent="0.2">
      <c r="A71" s="4" t="s">
        <v>19</v>
      </c>
      <c r="B71" s="3" t="s">
        <v>21</v>
      </c>
      <c r="C71" s="21">
        <f t="shared" ref="C71:O71" si="68">+C9-C36</f>
        <v>-51446.122177800047</v>
      </c>
      <c r="D71" s="21">
        <f t="shared" si="68"/>
        <v>52417.737249779981</v>
      </c>
      <c r="E71" s="21">
        <f t="shared" si="68"/>
        <v>162788.33345876005</v>
      </c>
      <c r="F71" s="21">
        <f t="shared" si="68"/>
        <v>-243036.38832676993</v>
      </c>
      <c r="G71" s="21">
        <f t="shared" si="68"/>
        <v>-459635.05612105993</v>
      </c>
      <c r="H71" s="21">
        <f t="shared" si="68"/>
        <v>-539310.3725416502</v>
      </c>
      <c r="I71" s="21">
        <f t="shared" si="68"/>
        <v>-568852.53257283987</v>
      </c>
      <c r="J71" s="21">
        <f t="shared" si="68"/>
        <v>-737609.64465073007</v>
      </c>
      <c r="K71" s="21">
        <f t="shared" si="68"/>
        <v>-854982.53425231948</v>
      </c>
      <c r="L71" s="21">
        <f t="shared" si="68"/>
        <v>-930857.13325928105</v>
      </c>
      <c r="M71" s="21">
        <f t="shared" si="68"/>
        <v>-796447.06127726985</v>
      </c>
      <c r="N71" s="21">
        <f t="shared" si="68"/>
        <v>-956832.74782997975</v>
      </c>
      <c r="O71" s="21">
        <f t="shared" si="68"/>
        <v>-1153892.4366922611</v>
      </c>
      <c r="P71" s="21">
        <f t="shared" ref="P71:U71" si="69">+P9-P36</f>
        <v>-1380860.0228300202</v>
      </c>
      <c r="Q71" s="21">
        <f t="shared" si="69"/>
        <v>-1630808.7200733097</v>
      </c>
      <c r="R71" s="21">
        <f t="shared" si="69"/>
        <v>-969205.44931663014</v>
      </c>
      <c r="S71" s="21">
        <f t="shared" si="69"/>
        <v>-491440.90844825003</v>
      </c>
      <c r="T71" s="21">
        <f t="shared" si="69"/>
        <v>-602441.82218934875</v>
      </c>
      <c r="U71" s="21">
        <f t="shared" si="69"/>
        <v>-903689.82619974948</v>
      </c>
      <c r="V71" s="21">
        <f t="shared" ref="V71" si="70">+V9-V36</f>
        <v>-660287.34358105157</v>
      </c>
      <c r="W71" s="42">
        <f t="shared" si="5"/>
        <v>-2.0188860701419244</v>
      </c>
      <c r="X71" s="42">
        <f t="shared" ref="X71:AO71" si="71">+E71/D71-1</f>
        <v>2.1055963496295971</v>
      </c>
      <c r="Y71" s="42">
        <f t="shared" si="71"/>
        <v>-2.492959496316359</v>
      </c>
      <c r="Z71" s="42">
        <f t="shared" si="71"/>
        <v>0.89121908569126029</v>
      </c>
      <c r="AA71" s="42">
        <f t="shared" si="71"/>
        <v>0.17334473373938031</v>
      </c>
      <c r="AB71" s="42">
        <f t="shared" si="71"/>
        <v>5.4777659647011756E-2</v>
      </c>
      <c r="AC71" s="42">
        <f t="shared" si="71"/>
        <v>0.29666232004738657</v>
      </c>
      <c r="AD71" s="42">
        <f t="shared" si="71"/>
        <v>0.1591260234363765</v>
      </c>
      <c r="AE71" s="42">
        <f t="shared" si="71"/>
        <v>8.8744033903936703E-2</v>
      </c>
      <c r="AF71" s="42">
        <f t="shared" si="71"/>
        <v>-0.14439387869477993</v>
      </c>
      <c r="AG71" s="42">
        <f t="shared" si="71"/>
        <v>0.20137645595113107</v>
      </c>
      <c r="AH71" s="42">
        <f t="shared" si="71"/>
        <v>0.20594998374501405</v>
      </c>
      <c r="AI71" s="42">
        <f t="shared" si="71"/>
        <v>0.19669735143457778</v>
      </c>
      <c r="AJ71" s="42">
        <f t="shared" si="71"/>
        <v>0.18100943840131545</v>
      </c>
      <c r="AK71" s="42">
        <f t="shared" si="71"/>
        <v>-0.40569029501322418</v>
      </c>
      <c r="AL71" s="42">
        <f t="shared" si="71"/>
        <v>-0.49294454669569132</v>
      </c>
      <c r="AM71" s="42">
        <f t="shared" si="71"/>
        <v>0.22586828209232679</v>
      </c>
      <c r="AN71" s="42">
        <f t="shared" si="71"/>
        <v>0.50004497183749286</v>
      </c>
      <c r="AO71" s="42">
        <f t="shared" si="71"/>
        <v>-0.26934294883264165</v>
      </c>
    </row>
    <row r="72" spans="1:41" ht="18" x14ac:dyDescent="0.2">
      <c r="B72" s="61" t="s">
        <v>55</v>
      </c>
      <c r="C72" s="62">
        <f t="shared" ref="C72:O72" si="72">+C71/C77</f>
        <v>-4.4299237580467986E-3</v>
      </c>
      <c r="D72" s="62">
        <f t="shared" si="72"/>
        <v>3.7740325151889931E-3</v>
      </c>
      <c r="E72" s="62">
        <f t="shared" si="72"/>
        <v>1.0043098744472718E-2</v>
      </c>
      <c r="F72" s="62">
        <f t="shared" si="72"/>
        <v>-1.3788400759104608E-2</v>
      </c>
      <c r="G72" s="62">
        <f t="shared" si="72"/>
        <v>-2.3211534697444303E-2</v>
      </c>
      <c r="H72" s="62">
        <f t="shared" si="72"/>
        <v>-2.4940909612008864E-2</v>
      </c>
      <c r="I72" s="62">
        <f t="shared" si="72"/>
        <v>-2.3948792971171484E-2</v>
      </c>
      <c r="J72" s="62">
        <f t="shared" si="72"/>
        <v>-2.896795192223019E-2</v>
      </c>
      <c r="K72" s="62">
        <f t="shared" si="72"/>
        <v>-3.0533642778148826E-2</v>
      </c>
      <c r="L72" s="62">
        <f t="shared" si="72"/>
        <v>-3.0618383564200057E-2</v>
      </c>
      <c r="M72" s="62">
        <f t="shared" si="72"/>
        <v>-2.4845267683775998E-2</v>
      </c>
      <c r="N72" s="62">
        <f t="shared" si="72"/>
        <v>-2.7860545325885368E-2</v>
      </c>
      <c r="O72" s="62">
        <f t="shared" si="72"/>
        <v>-3.2039468260299395E-2</v>
      </c>
      <c r="P72" s="62">
        <f t="shared" ref="P72:U72" si="73">+P71/P77</f>
        <v>-3.6499644617869968E-2</v>
      </c>
      <c r="Q72" s="62">
        <f t="shared" si="73"/>
        <v>-4.4685510973258229E-2</v>
      </c>
      <c r="R72" s="62">
        <f t="shared" si="73"/>
        <v>-2.4033884008050128E-2</v>
      </c>
      <c r="S72" s="62">
        <f t="shared" si="73"/>
        <v>-1.0967207606598911E-2</v>
      </c>
      <c r="T72" s="62">
        <f t="shared" si="73"/>
        <v>-1.2801766666279822E-2</v>
      </c>
      <c r="U72" s="62">
        <f t="shared" si="73"/>
        <v>-1.8399116940754249E-2</v>
      </c>
      <c r="V72" s="62">
        <f t="shared" ref="V72" si="74">+V71/V77</f>
        <v>-1.2775429795783163E-2</v>
      </c>
      <c r="W72" s="55"/>
      <c r="X72" s="55"/>
      <c r="Y72" s="55"/>
      <c r="Z72" s="55"/>
      <c r="AA72" s="55"/>
      <c r="AB72" s="55"/>
      <c r="AC72" s="55"/>
      <c r="AD72" s="30"/>
      <c r="AE72" s="30"/>
      <c r="AF72" s="30"/>
      <c r="AG72" s="30"/>
      <c r="AJ72" s="6"/>
      <c r="AK72" s="6"/>
      <c r="AL72" s="6"/>
      <c r="AM72" s="6"/>
    </row>
    <row r="73" spans="1:41" x14ac:dyDescent="0.2">
      <c r="B73" s="54"/>
      <c r="C73" s="54"/>
      <c r="D73" s="54"/>
      <c r="E73" s="55"/>
      <c r="F73" s="55"/>
      <c r="G73" s="55"/>
      <c r="H73" s="55"/>
      <c r="I73" s="55"/>
      <c r="J73" s="55"/>
      <c r="K73" s="55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5"/>
      <c r="X73" s="55"/>
      <c r="Y73" s="55"/>
      <c r="Z73" s="55"/>
      <c r="AA73" s="55"/>
      <c r="AB73" s="55"/>
      <c r="AC73" s="55"/>
      <c r="AD73" s="30"/>
      <c r="AE73" s="30"/>
      <c r="AF73" s="30"/>
      <c r="AG73" s="30"/>
      <c r="AJ73" s="6"/>
      <c r="AK73" s="6"/>
      <c r="AL73" s="6"/>
      <c r="AM73" s="6"/>
    </row>
    <row r="74" spans="1:41" x14ac:dyDescent="0.2">
      <c r="B74" s="34" t="s">
        <v>40</v>
      </c>
      <c r="C74" s="34"/>
      <c r="D74" s="34"/>
      <c r="F74" s="21">
        <f t="shared" ref="F74:O74" si="75">F75+F76</f>
        <v>241353.78205922537</v>
      </c>
      <c r="G74" s="21">
        <f t="shared" si="75"/>
        <v>454977.54028588516</v>
      </c>
      <c r="H74" s="21">
        <f t="shared" si="75"/>
        <v>534939.5514359735</v>
      </c>
      <c r="I74" s="21">
        <f t="shared" si="75"/>
        <v>568852.53257284011</v>
      </c>
      <c r="J74" s="21">
        <f t="shared" si="75"/>
        <v>737609.65688354196</v>
      </c>
      <c r="K74" s="21">
        <f t="shared" si="75"/>
        <v>854982.4629011387</v>
      </c>
      <c r="L74" s="21">
        <f t="shared" si="75"/>
        <v>930857.06472813943</v>
      </c>
      <c r="M74" s="21">
        <f t="shared" si="75"/>
        <v>796447.10596529464</v>
      </c>
      <c r="N74" s="21">
        <f t="shared" si="75"/>
        <v>956832.7330019013</v>
      </c>
      <c r="O74" s="21">
        <f t="shared" si="75"/>
        <v>1153892.4289548437</v>
      </c>
      <c r="P74" s="21">
        <f t="shared" ref="P74:V74" si="76">P75+P76</f>
        <v>1380859.973308044</v>
      </c>
      <c r="Q74" s="21">
        <f t="shared" si="76"/>
        <v>1630808.6879115021</v>
      </c>
      <c r="R74" s="21">
        <f t="shared" si="76"/>
        <v>969205.37692383933</v>
      </c>
      <c r="S74" s="21">
        <f t="shared" si="76"/>
        <v>491440.86922757875</v>
      </c>
      <c r="T74" s="21">
        <f t="shared" si="76"/>
        <v>602441.85642813216</v>
      </c>
      <c r="U74" s="21">
        <f t="shared" si="76"/>
        <v>903689.83154587075</v>
      </c>
      <c r="V74" s="21">
        <f t="shared" si="76"/>
        <v>660287.341716083</v>
      </c>
      <c r="W74" s="6"/>
      <c r="X74" s="6"/>
      <c r="Y74" s="6"/>
      <c r="Z74" s="6"/>
      <c r="AA74" s="6"/>
      <c r="AB74" s="6"/>
      <c r="AC74" s="6"/>
      <c r="AD74" s="1"/>
      <c r="AE74" s="1"/>
      <c r="AF74" s="1"/>
    </row>
    <row r="75" spans="1:41" x14ac:dyDescent="0.2">
      <c r="B75" s="36" t="s">
        <v>42</v>
      </c>
      <c r="C75" s="36"/>
      <c r="D75" s="36"/>
      <c r="F75" s="35">
        <v>426106.10771570785</v>
      </c>
      <c r="G75" s="35">
        <v>465869.37760774308</v>
      </c>
      <c r="H75" s="35">
        <v>676723.92648600705</v>
      </c>
      <c r="I75" s="35">
        <v>714038.87366168643</v>
      </c>
      <c r="J75" s="35">
        <f>368990.237240793+0.5</f>
        <v>368990.73724079301</v>
      </c>
      <c r="K75" s="35">
        <f>421933.022549997+1019.1</f>
        <v>422952.122549997</v>
      </c>
      <c r="L75" s="35">
        <f>386633.647590837-7331.9</f>
        <v>379301.74759083695</v>
      </c>
      <c r="M75" s="35">
        <v>786628.33581028495</v>
      </c>
      <c r="N75" s="35">
        <v>928274.09637213196</v>
      </c>
      <c r="O75" s="35">
        <v>1148914.3482956099</v>
      </c>
      <c r="P75" s="35">
        <f>1318875.79608476+25684.5</f>
        <v>1344560.29608476</v>
      </c>
      <c r="Q75" s="35">
        <v>1227121.2473265</v>
      </c>
      <c r="R75" s="35">
        <v>543817.41134016507</v>
      </c>
      <c r="S75" s="35">
        <v>-282446.01025147503</v>
      </c>
      <c r="T75" s="35">
        <v>184980.8</v>
      </c>
      <c r="U75" s="35">
        <f>181695.428897833+90106.3</f>
        <v>271801.72889783297</v>
      </c>
      <c r="V75" s="35">
        <v>1007348.65089384</v>
      </c>
      <c r="W75" s="18"/>
      <c r="X75" s="18"/>
      <c r="Y75" s="18"/>
      <c r="Z75" s="18"/>
      <c r="AA75" s="18"/>
      <c r="AB75" s="18"/>
      <c r="AC75" s="18"/>
    </row>
    <row r="76" spans="1:41" ht="13.5" thickBot="1" x14ac:dyDescent="0.25">
      <c r="B76" s="69" t="s">
        <v>43</v>
      </c>
      <c r="C76" s="69"/>
      <c r="D76" s="69"/>
      <c r="E76" s="10"/>
      <c r="F76" s="71">
        <v>-184752.32565648248</v>
      </c>
      <c r="G76" s="71">
        <v>-10891.837321857898</v>
      </c>
      <c r="H76" s="71">
        <v>-141784.37505003356</v>
      </c>
      <c r="I76" s="71">
        <v>-145186.34108884635</v>
      </c>
      <c r="J76" s="71">
        <v>368618.91964274889</v>
      </c>
      <c r="K76" s="71">
        <v>432030.34035114176</v>
      </c>
      <c r="L76" s="71">
        <v>551555.31713730248</v>
      </c>
      <c r="M76" s="71">
        <v>9818.7701550097008</v>
      </c>
      <c r="N76" s="71">
        <v>28558.636629769313</v>
      </c>
      <c r="O76" s="71">
        <v>4978.0806592336412</v>
      </c>
      <c r="P76" s="71">
        <v>36299.677223284096</v>
      </c>
      <c r="Q76" s="71">
        <v>403687.44058500207</v>
      </c>
      <c r="R76" s="71">
        <v>425387.9655836742</v>
      </c>
      <c r="S76" s="71">
        <v>773886.87947905378</v>
      </c>
      <c r="T76" s="71">
        <v>417461.05642813211</v>
      </c>
      <c r="U76" s="71">
        <v>631888.10264803772</v>
      </c>
      <c r="V76" s="71">
        <v>-347061.30917775707</v>
      </c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0"/>
      <c r="AH76" s="10"/>
      <c r="AI76" s="10"/>
      <c r="AJ76" s="10"/>
      <c r="AK76" s="10"/>
      <c r="AL76" s="10"/>
      <c r="AM76" s="10"/>
      <c r="AN76" s="10"/>
      <c r="AO76" s="10"/>
    </row>
    <row r="77" spans="1:41" ht="15" thickTop="1" x14ac:dyDescent="0.2">
      <c r="B77" s="67" t="s">
        <v>96</v>
      </c>
      <c r="C77" s="64">
        <v>11613320</v>
      </c>
      <c r="D77" s="64">
        <v>13889052.9</v>
      </c>
      <c r="E77" s="64">
        <v>16208974.699999999</v>
      </c>
      <c r="F77" s="64">
        <v>17626147.699999999</v>
      </c>
      <c r="G77" s="63">
        <v>19802010.600000001</v>
      </c>
      <c r="H77" s="63">
        <v>21623524.600000001</v>
      </c>
      <c r="I77" s="63">
        <v>23752868.600000001</v>
      </c>
      <c r="J77" s="63">
        <v>25462954.600000001</v>
      </c>
      <c r="K77" s="63">
        <v>28001327.600000001</v>
      </c>
      <c r="L77" s="63">
        <v>30401903.199999999</v>
      </c>
      <c r="M77" s="63">
        <v>32056288.199999999</v>
      </c>
      <c r="N77" s="63">
        <v>34343647.5</v>
      </c>
      <c r="O77" s="63">
        <v>36014718.700000003</v>
      </c>
      <c r="P77" s="63">
        <v>37832149.799999997</v>
      </c>
      <c r="Q77" s="63">
        <v>36495246.100000001</v>
      </c>
      <c r="R77" s="63">
        <v>40326625.899999999</v>
      </c>
      <c r="S77" s="63">
        <v>44810030.600000001</v>
      </c>
      <c r="T77" s="63">
        <v>47059272.200000003</v>
      </c>
      <c r="U77" s="63">
        <v>49115934.700000003</v>
      </c>
      <c r="V77" s="63">
        <v>51684158.899999999</v>
      </c>
    </row>
    <row r="78" spans="1:41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</row>
    <row r="79" spans="1:41" x14ac:dyDescent="0.2">
      <c r="AG79" s="8"/>
    </row>
    <row r="80" spans="1:41" ht="12.75" customHeight="1" x14ac:dyDescent="0.2">
      <c r="A80" s="48"/>
      <c r="B80" s="215" t="s">
        <v>155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6"/>
      <c r="S80" s="126"/>
      <c r="T80" s="126"/>
      <c r="U80" s="126"/>
      <c r="V80" s="126"/>
      <c r="AG80" s="8"/>
    </row>
    <row r="81" spans="1:35" x14ac:dyDescent="0.2">
      <c r="A81" s="48"/>
      <c r="B81" s="216" t="s">
        <v>102</v>
      </c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126"/>
      <c r="S81" s="126"/>
      <c r="T81" s="126"/>
      <c r="U81" s="126"/>
      <c r="V81" s="126"/>
      <c r="AG81" s="8"/>
    </row>
    <row r="82" spans="1:35" x14ac:dyDescent="0.2">
      <c r="A82" s="48"/>
      <c r="B82" s="216" t="s">
        <v>103</v>
      </c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126"/>
      <c r="S82" s="126"/>
      <c r="T82" s="126"/>
      <c r="U82" s="126"/>
      <c r="V82" s="165"/>
      <c r="AG82" s="8"/>
    </row>
    <row r="83" spans="1:35" x14ac:dyDescent="0.2">
      <c r="A83" s="48"/>
      <c r="U83" s="6"/>
      <c r="V83" s="6"/>
      <c r="AG83" s="8"/>
    </row>
    <row r="84" spans="1:35" ht="28.5" customHeight="1" x14ac:dyDescent="0.2">
      <c r="B84" s="220" t="s">
        <v>46</v>
      </c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127"/>
      <c r="S84" s="127"/>
      <c r="T84" s="127"/>
      <c r="U84" s="127"/>
      <c r="V84" s="127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x14ac:dyDescent="0.2">
      <c r="R85" s="6"/>
      <c r="S85" s="6"/>
      <c r="T85" s="6"/>
      <c r="U85" s="6"/>
      <c r="V85" s="6"/>
    </row>
    <row r="86" spans="1:35" x14ac:dyDescent="0.2">
      <c r="S86" s="6"/>
      <c r="T86" s="6"/>
      <c r="U86" s="6"/>
      <c r="V86" s="6"/>
    </row>
    <row r="87" spans="1:35" x14ac:dyDescent="0.2">
      <c r="T87" s="6"/>
      <c r="U87" s="6"/>
      <c r="V87" s="6"/>
    </row>
  </sheetData>
  <customSheetViews>
    <customSheetView guid="{436A6C56-38E6-4AE7-BBD0-1E90C9C72A7E}" hiddenColumns="1">
      <selection activeCell="F80" sqref="F80"/>
      <pageMargins left="0.23622047244094491" right="0.27559055118110237" top="0.51181102362204722" bottom="0.19685039370078741" header="0" footer="0"/>
      <printOptions horizontalCentered="1" verticalCentered="1"/>
      <pageSetup scale="70" orientation="portrait" r:id="rId1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8">
    <mergeCell ref="B84:Q84"/>
    <mergeCell ref="C6:T6"/>
    <mergeCell ref="W6:AN6"/>
    <mergeCell ref="A2:AM2"/>
    <mergeCell ref="A3:AM3"/>
    <mergeCell ref="A4:AM4"/>
    <mergeCell ref="B81:Q81"/>
    <mergeCell ref="B82:Q82"/>
  </mergeCells>
  <phoneticPr fontId="0" type="noConversion"/>
  <printOptions horizontalCentered="1" verticalCentered="1"/>
  <pageMargins left="0.23622047244094491" right="0.27559055118110237" top="0.51181102362204722" bottom="0.19685039370078741" header="0" footer="0"/>
  <pageSetup scale="7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676B-DBD1-4D4C-A97F-84C610E0A9F8}">
  <dimension ref="A1:Q69"/>
  <sheetViews>
    <sheetView showGridLines="0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44" sqref="L44:L64"/>
    </sheetView>
  </sheetViews>
  <sheetFormatPr baseColWidth="10" defaultRowHeight="12.75" x14ac:dyDescent="0.2"/>
  <cols>
    <col min="1" max="1" width="2.42578125" customWidth="1"/>
    <col min="2" max="2" width="35.140625" bestFit="1" customWidth="1"/>
    <col min="3" max="5" width="7.85546875" bestFit="1" customWidth="1"/>
    <col min="6" max="6" width="8.7109375" customWidth="1"/>
    <col min="7" max="7" width="6.85546875" bestFit="1" customWidth="1"/>
    <col min="9" max="9" width="35.140625" bestFit="1" customWidth="1"/>
    <col min="10" max="12" width="9.140625" bestFit="1" customWidth="1"/>
    <col min="13" max="14" width="6.85546875" bestFit="1" customWidth="1"/>
  </cols>
  <sheetData>
    <row r="1" spans="1:17" x14ac:dyDescent="0.2">
      <c r="A1" s="166"/>
      <c r="B1" s="167"/>
      <c r="C1" s="168" t="s">
        <v>47</v>
      </c>
      <c r="D1" s="168" t="s">
        <v>47</v>
      </c>
      <c r="E1" s="168" t="s">
        <v>47</v>
      </c>
      <c r="F1" s="169" t="s">
        <v>47</v>
      </c>
      <c r="G1" s="169"/>
      <c r="H1" s="166"/>
      <c r="I1" s="166"/>
      <c r="J1" s="170" t="s">
        <v>47</v>
      </c>
      <c r="K1" s="170" t="s">
        <v>47</v>
      </c>
      <c r="L1" s="170" t="s">
        <v>47</v>
      </c>
      <c r="M1" s="169"/>
      <c r="N1" s="169"/>
    </row>
    <row r="2" spans="1:17" x14ac:dyDescent="0.2">
      <c r="A2" s="166"/>
      <c r="B2" s="224" t="s">
        <v>104</v>
      </c>
      <c r="C2" s="224"/>
      <c r="D2" s="224"/>
      <c r="E2" s="224"/>
      <c r="F2" s="224"/>
      <c r="G2" s="224"/>
      <c r="H2" s="166"/>
      <c r="I2" s="224" t="s">
        <v>104</v>
      </c>
      <c r="J2" s="224"/>
      <c r="K2" s="224"/>
      <c r="L2" s="224"/>
      <c r="M2" s="224"/>
      <c r="N2" s="224"/>
    </row>
    <row r="3" spans="1:17" x14ac:dyDescent="0.2">
      <c r="A3" s="166"/>
      <c r="B3" s="224" t="s">
        <v>105</v>
      </c>
      <c r="C3" s="224"/>
      <c r="D3" s="224"/>
      <c r="E3" s="224"/>
      <c r="F3" s="224"/>
      <c r="G3" s="224"/>
      <c r="H3" s="166"/>
      <c r="I3" s="224" t="s">
        <v>105</v>
      </c>
      <c r="J3" s="224"/>
      <c r="K3" s="224"/>
      <c r="L3" s="224"/>
      <c r="M3" s="224"/>
      <c r="N3" s="224"/>
    </row>
    <row r="4" spans="1:17" x14ac:dyDescent="0.2">
      <c r="A4" s="166"/>
      <c r="B4" s="224" t="s">
        <v>106</v>
      </c>
      <c r="C4" s="224"/>
      <c r="D4" s="224"/>
      <c r="E4" s="224"/>
      <c r="F4" s="224"/>
      <c r="G4" s="224"/>
      <c r="H4" s="166"/>
      <c r="I4" s="224" t="s">
        <v>107</v>
      </c>
      <c r="J4" s="224"/>
      <c r="K4" s="224"/>
      <c r="L4" s="224"/>
      <c r="M4" s="224"/>
      <c r="N4" s="224"/>
    </row>
    <row r="5" spans="1:17" x14ac:dyDescent="0.2">
      <c r="A5" s="166"/>
      <c r="B5" s="224" t="s">
        <v>108</v>
      </c>
      <c r="C5" s="224"/>
      <c r="D5" s="224"/>
      <c r="E5" s="224"/>
      <c r="F5" s="224"/>
      <c r="G5" s="224"/>
      <c r="H5" s="166"/>
      <c r="I5" s="224" t="s">
        <v>108</v>
      </c>
      <c r="J5" s="224"/>
      <c r="K5" s="224"/>
      <c r="L5" s="224"/>
      <c r="M5" s="224"/>
      <c r="N5" s="224"/>
    </row>
    <row r="6" spans="1:17" x14ac:dyDescent="0.2">
      <c r="A6" s="166"/>
      <c r="B6" s="171"/>
      <c r="C6" s="171"/>
      <c r="D6" s="171"/>
      <c r="E6" s="171"/>
      <c r="F6" s="171"/>
      <c r="G6" s="171"/>
      <c r="H6" s="166"/>
      <c r="I6" s="171"/>
      <c r="J6" s="171"/>
      <c r="K6" s="171"/>
      <c r="L6" s="171"/>
      <c r="M6" s="171"/>
      <c r="N6" s="171"/>
    </row>
    <row r="7" spans="1:17" ht="12.75" customHeight="1" x14ac:dyDescent="0.2">
      <c r="A7" s="166"/>
      <c r="B7" s="172" t="s">
        <v>0</v>
      </c>
      <c r="C7" s="173">
        <v>2023</v>
      </c>
      <c r="D7" s="173">
        <v>2024</v>
      </c>
      <c r="E7" s="174">
        <v>2025</v>
      </c>
      <c r="F7" s="225" t="s">
        <v>109</v>
      </c>
      <c r="G7" s="226"/>
      <c r="H7" s="166"/>
      <c r="I7" s="172" t="s">
        <v>0</v>
      </c>
      <c r="J7" s="173">
        <v>2023</v>
      </c>
      <c r="K7" s="173">
        <v>2024</v>
      </c>
      <c r="L7" s="174">
        <v>2025</v>
      </c>
      <c r="M7" s="225" t="s">
        <v>109</v>
      </c>
      <c r="N7" s="226"/>
    </row>
    <row r="8" spans="1:17" x14ac:dyDescent="0.2">
      <c r="A8" s="166"/>
      <c r="B8" s="175"/>
      <c r="C8" s="175"/>
      <c r="D8" s="176"/>
      <c r="E8" s="177"/>
      <c r="F8" s="178" t="s">
        <v>91</v>
      </c>
      <c r="G8" s="179" t="s">
        <v>95</v>
      </c>
      <c r="H8" s="166"/>
      <c r="I8" s="175"/>
      <c r="J8" s="173"/>
      <c r="K8" s="173"/>
      <c r="L8" s="174"/>
      <c r="M8" s="179" t="s">
        <v>91</v>
      </c>
      <c r="N8" s="179" t="s">
        <v>95</v>
      </c>
    </row>
    <row r="9" spans="1:17" x14ac:dyDescent="0.2">
      <c r="A9" s="170"/>
      <c r="B9" s="180" t="s">
        <v>110</v>
      </c>
      <c r="C9" s="130">
        <v>533930.13290896988</v>
      </c>
      <c r="D9" s="131">
        <v>554874.50334421999</v>
      </c>
      <c r="E9" s="181">
        <f>E10+E64</f>
        <v>602682.57549072988</v>
      </c>
      <c r="F9" s="72">
        <f>D9/C9-1</f>
        <v>3.9226799808320445E-2</v>
      </c>
      <c r="G9" s="73">
        <f>E9/D9-1</f>
        <v>8.616015307672531E-2</v>
      </c>
      <c r="H9" s="166"/>
      <c r="I9" s="180" t="s">
        <v>110</v>
      </c>
      <c r="J9" s="132">
        <v>4211169.4395762607</v>
      </c>
      <c r="K9" s="133">
        <v>4291724.2272927007</v>
      </c>
      <c r="L9" s="181">
        <f>L10+L64</f>
        <v>4383112.78857945</v>
      </c>
      <c r="M9" s="73">
        <f>K9/J9-1</f>
        <v>1.912884030725337E-2</v>
      </c>
      <c r="N9" s="73">
        <f>L9/K9-1</f>
        <v>2.1294136446506684E-2</v>
      </c>
      <c r="Q9" s="162"/>
    </row>
    <row r="10" spans="1:17" x14ac:dyDescent="0.2">
      <c r="A10" s="170"/>
      <c r="B10" s="182" t="s">
        <v>111</v>
      </c>
      <c r="C10" s="134">
        <v>533930.13290896988</v>
      </c>
      <c r="D10" s="135">
        <v>554874.50334421999</v>
      </c>
      <c r="E10" s="183">
        <f>E12++E61+E62+E63</f>
        <v>593863.17234258994</v>
      </c>
      <c r="F10" s="74">
        <f t="shared" ref="F10:G63" si="0">D10/C10-1</f>
        <v>3.9226799808320445E-2</v>
      </c>
      <c r="G10" s="75">
        <f>E10/D10-1</f>
        <v>7.0265742547883869E-2</v>
      </c>
      <c r="H10" s="166"/>
      <c r="I10" s="182" t="s">
        <v>111</v>
      </c>
      <c r="J10" s="134">
        <v>4203818.6949082604</v>
      </c>
      <c r="K10" s="135">
        <v>4284140.7909387005</v>
      </c>
      <c r="L10" s="183">
        <f>L12++L61+L62+L63</f>
        <v>4366751.6847663103</v>
      </c>
      <c r="M10" s="75">
        <f t="shared" ref="M10" si="1">K10/J10-1</f>
        <v>1.9106936302397459E-2</v>
      </c>
      <c r="N10" s="75">
        <f>L10/K10-1</f>
        <v>1.928295493984189E-2</v>
      </c>
      <c r="Q10" s="162"/>
    </row>
    <row r="11" spans="1:17" x14ac:dyDescent="0.2">
      <c r="A11" s="170"/>
      <c r="B11" s="184"/>
      <c r="C11" s="130"/>
      <c r="D11" s="136"/>
      <c r="E11" s="181"/>
      <c r="F11" s="76"/>
      <c r="G11" s="77"/>
      <c r="H11" s="166"/>
      <c r="I11" s="184"/>
      <c r="J11" s="137"/>
      <c r="K11" s="138"/>
      <c r="L11" s="181"/>
      <c r="M11" s="78"/>
      <c r="N11" s="78"/>
      <c r="Q11" s="162"/>
    </row>
    <row r="12" spans="1:17" x14ac:dyDescent="0.2">
      <c r="A12" s="170"/>
      <c r="B12" s="157" t="s">
        <v>112</v>
      </c>
      <c r="C12" s="115">
        <v>472908.60290364997</v>
      </c>
      <c r="D12" s="122">
        <v>493788.33816745004</v>
      </c>
      <c r="E12" s="185">
        <f>E14+E21+E26+E30+E35+E39+E43+E58+E59</f>
        <v>524907.88319192</v>
      </c>
      <c r="F12" s="80">
        <f t="shared" si="0"/>
        <v>4.4151734892532879E-2</v>
      </c>
      <c r="G12" s="81">
        <f>E12/D12-1</f>
        <v>6.3022033164981117E-2</v>
      </c>
      <c r="H12" s="166"/>
      <c r="I12" s="186" t="s">
        <v>112</v>
      </c>
      <c r="J12" s="79">
        <v>3763332.7941518202</v>
      </c>
      <c r="K12" s="122">
        <v>3806660.9998851805</v>
      </c>
      <c r="L12" s="185">
        <f>L14+L21+L26+L30+L35+L39+L43+L58+L59</f>
        <v>3881394.9849153999</v>
      </c>
      <c r="M12" s="80">
        <f t="shared" ref="M12" si="2">K12/J12-1</f>
        <v>1.1513253837314608E-2</v>
      </c>
      <c r="N12" s="81">
        <f>L12/K12-1</f>
        <v>1.9632424592700426E-2</v>
      </c>
      <c r="Q12" s="162"/>
    </row>
    <row r="13" spans="1:17" x14ac:dyDescent="0.2">
      <c r="A13" s="170"/>
      <c r="B13" s="158"/>
      <c r="C13" s="83"/>
      <c r="D13" s="83"/>
      <c r="E13" s="187"/>
      <c r="F13" s="84"/>
      <c r="G13" s="85"/>
      <c r="H13" s="166"/>
      <c r="I13" s="188"/>
      <c r="J13" s="82"/>
      <c r="K13" s="83"/>
      <c r="L13" s="187"/>
      <c r="M13" s="84"/>
      <c r="N13" s="85"/>
      <c r="Q13" s="162"/>
    </row>
    <row r="14" spans="1:17" x14ac:dyDescent="0.2">
      <c r="A14" s="170"/>
      <c r="B14" s="159" t="s">
        <v>113</v>
      </c>
      <c r="C14" s="139">
        <v>167696.19158796</v>
      </c>
      <c r="D14" s="139">
        <v>167467.05510239</v>
      </c>
      <c r="E14" s="189">
        <f>SUM(E15:E19)</f>
        <v>191896.60665656</v>
      </c>
      <c r="F14" s="86">
        <f t="shared" si="0"/>
        <v>-1.3663785885668078E-3</v>
      </c>
      <c r="G14" s="87">
        <f>E14/D14-1</f>
        <v>0.14587676089027579</v>
      </c>
      <c r="H14" s="190"/>
      <c r="I14" s="191" t="s">
        <v>113</v>
      </c>
      <c r="J14" s="140">
        <v>1482008.9928117199</v>
      </c>
      <c r="K14" s="139">
        <v>1404321.07362147</v>
      </c>
      <c r="L14" s="189">
        <f>SUM(L15:L19)</f>
        <v>1439212.1637515801</v>
      </c>
      <c r="M14" s="86">
        <f t="shared" ref="M14:N18" si="3">K14/J14-1</f>
        <v>-5.242068001413247E-2</v>
      </c>
      <c r="N14" s="87">
        <f t="shared" si="3"/>
        <v>2.4845522000273679E-2</v>
      </c>
      <c r="Q14" s="162"/>
    </row>
    <row r="15" spans="1:17" x14ac:dyDescent="0.2">
      <c r="A15" s="170"/>
      <c r="B15" s="158" t="s">
        <v>114</v>
      </c>
      <c r="C15" s="97">
        <v>56084.465070620005</v>
      </c>
      <c r="D15" s="97">
        <v>58599.581085239995</v>
      </c>
      <c r="E15" s="192">
        <v>61687.504876779996</v>
      </c>
      <c r="F15" s="89">
        <f>D15/C15-1</f>
        <v>4.484514582519461E-2</v>
      </c>
      <c r="G15" s="90">
        <f>E15/D15-1</f>
        <v>5.2695321952016316E-2</v>
      </c>
      <c r="H15" s="166"/>
      <c r="I15" s="188" t="s">
        <v>114</v>
      </c>
      <c r="J15" s="88">
        <v>416793.85970833997</v>
      </c>
      <c r="K15" s="97">
        <v>441461.93020658003</v>
      </c>
      <c r="L15" s="192">
        <v>465361.60951183998</v>
      </c>
      <c r="M15" s="91">
        <f t="shared" si="3"/>
        <v>5.9185302095146053E-2</v>
      </c>
      <c r="N15" s="92">
        <f t="shared" si="3"/>
        <v>5.4137577149803606E-2</v>
      </c>
      <c r="Q15" s="162"/>
    </row>
    <row r="16" spans="1:17" x14ac:dyDescent="0.2">
      <c r="A16" s="170"/>
      <c r="B16" s="158" t="s">
        <v>115</v>
      </c>
      <c r="C16" s="97">
        <v>93782.379366770008</v>
      </c>
      <c r="D16" s="97">
        <v>88317.457990580006</v>
      </c>
      <c r="E16" s="192">
        <v>107879.03708861</v>
      </c>
      <c r="F16" s="89">
        <f t="shared" ref="F16:G18" si="4">D16/C16-1</f>
        <v>-5.8272368573817568E-2</v>
      </c>
      <c r="G16" s="90">
        <f t="shared" si="4"/>
        <v>0.22149164551493827</v>
      </c>
      <c r="H16" s="166"/>
      <c r="I16" s="188" t="s">
        <v>115</v>
      </c>
      <c r="J16" s="88">
        <v>933150.55302847992</v>
      </c>
      <c r="K16" s="97">
        <v>821791.25757519004</v>
      </c>
      <c r="L16" s="192">
        <v>833203.12645313004</v>
      </c>
      <c r="M16" s="91">
        <f t="shared" si="3"/>
        <v>-0.11933690130909791</v>
      </c>
      <c r="N16" s="92">
        <f t="shared" si="3"/>
        <v>1.3886578583973241E-2</v>
      </c>
      <c r="Q16" s="162"/>
    </row>
    <row r="17" spans="1:17" x14ac:dyDescent="0.2">
      <c r="A17" s="170"/>
      <c r="B17" s="158" t="s">
        <v>116</v>
      </c>
      <c r="C17" s="97">
        <v>0</v>
      </c>
      <c r="D17" s="97">
        <v>0</v>
      </c>
      <c r="E17" s="192">
        <v>0</v>
      </c>
      <c r="F17" s="141" t="e">
        <f t="shared" si="4"/>
        <v>#DIV/0!</v>
      </c>
      <c r="G17" s="142" t="e">
        <f t="shared" si="4"/>
        <v>#DIV/0!</v>
      </c>
      <c r="H17" s="166"/>
      <c r="I17" s="188" t="s">
        <v>116</v>
      </c>
      <c r="J17" s="88">
        <v>0</v>
      </c>
      <c r="K17" s="97">
        <v>0</v>
      </c>
      <c r="L17" s="192">
        <v>0</v>
      </c>
      <c r="M17" s="129" t="e">
        <f t="shared" si="3"/>
        <v>#DIV/0!</v>
      </c>
      <c r="N17" s="143" t="e">
        <f t="shared" si="3"/>
        <v>#DIV/0!</v>
      </c>
      <c r="Q17" s="162"/>
    </row>
    <row r="18" spans="1:17" x14ac:dyDescent="0.2">
      <c r="A18" s="170"/>
      <c r="B18" s="158" t="s">
        <v>117</v>
      </c>
      <c r="C18" s="97">
        <v>17829.34715057</v>
      </c>
      <c r="D18" s="97">
        <v>20550.01602657</v>
      </c>
      <c r="E18" s="192">
        <v>22330.064691169999</v>
      </c>
      <c r="F18" s="89">
        <f t="shared" si="4"/>
        <v>0.15259498023252194</v>
      </c>
      <c r="G18" s="90">
        <f t="shared" si="4"/>
        <v>8.6620305419640387E-2</v>
      </c>
      <c r="H18" s="166"/>
      <c r="I18" s="188" t="s">
        <v>117</v>
      </c>
      <c r="J18" s="88">
        <v>132064.5800749</v>
      </c>
      <c r="K18" s="97">
        <v>141067.8858397</v>
      </c>
      <c r="L18" s="192">
        <v>140647.42778661</v>
      </c>
      <c r="M18" s="91">
        <f t="shared" si="3"/>
        <v>6.8173508443322151E-2</v>
      </c>
      <c r="N18" s="92">
        <f t="shared" si="3"/>
        <v>-2.9805369988161745E-3</v>
      </c>
      <c r="Q18" s="162"/>
    </row>
    <row r="19" spans="1:17" x14ac:dyDescent="0.2">
      <c r="A19" s="170"/>
      <c r="B19" s="158" t="s">
        <v>118</v>
      </c>
      <c r="C19" s="97">
        <v>0</v>
      </c>
      <c r="D19" s="97">
        <v>0</v>
      </c>
      <c r="E19" s="192">
        <v>0</v>
      </c>
      <c r="F19" s="89">
        <v>0</v>
      </c>
      <c r="G19" s="90">
        <v>0</v>
      </c>
      <c r="H19" s="166"/>
      <c r="I19" s="188" t="s">
        <v>118</v>
      </c>
      <c r="J19" s="88">
        <v>0</v>
      </c>
      <c r="K19" s="97">
        <v>0</v>
      </c>
      <c r="L19" s="192">
        <v>0</v>
      </c>
      <c r="M19" s="91">
        <v>0</v>
      </c>
      <c r="N19" s="92">
        <v>0</v>
      </c>
      <c r="Q19" s="162"/>
    </row>
    <row r="20" spans="1:17" x14ac:dyDescent="0.2">
      <c r="A20" s="170"/>
      <c r="B20" s="160"/>
      <c r="C20" s="144"/>
      <c r="D20" s="144"/>
      <c r="E20" s="193"/>
      <c r="F20" s="89"/>
      <c r="G20" s="90"/>
      <c r="H20" s="170"/>
      <c r="I20" s="188"/>
      <c r="J20" s="145"/>
      <c r="K20" s="144"/>
      <c r="L20" s="193"/>
      <c r="M20" s="89"/>
      <c r="N20" s="90"/>
      <c r="Q20" s="162"/>
    </row>
    <row r="21" spans="1:17" x14ac:dyDescent="0.2">
      <c r="A21" s="170"/>
      <c r="B21" s="194" t="s">
        <v>119</v>
      </c>
      <c r="C21" s="146">
        <v>2564.6001314499999</v>
      </c>
      <c r="D21" s="147">
        <v>2026.1371680899999</v>
      </c>
      <c r="E21" s="195">
        <f t="shared" ref="E21" si="5">SUM(E22:E24)</f>
        <v>2696.6312172999997</v>
      </c>
      <c r="F21" s="95">
        <f t="shared" si="0"/>
        <v>-0.2099598127430331</v>
      </c>
      <c r="G21" s="93">
        <f>E21/D21-1</f>
        <v>0.33092233821566053</v>
      </c>
      <c r="H21" s="166"/>
      <c r="I21" s="194" t="s">
        <v>119</v>
      </c>
      <c r="J21" s="146">
        <v>120385.98227879999</v>
      </c>
      <c r="K21" s="147">
        <v>82576.479619520003</v>
      </c>
      <c r="L21" s="195">
        <f>SUM(L22:L24)</f>
        <v>103514.96962708001</v>
      </c>
      <c r="M21" s="94">
        <f t="shared" ref="M21:N28" si="6">K21/J21-1</f>
        <v>-0.31406897998902861</v>
      </c>
      <c r="N21" s="95">
        <f>L21/K21-1</f>
        <v>0.25356481777906192</v>
      </c>
      <c r="Q21" s="162"/>
    </row>
    <row r="22" spans="1:17" x14ac:dyDescent="0.2">
      <c r="A22" s="170"/>
      <c r="B22" s="188" t="s">
        <v>120</v>
      </c>
      <c r="C22" s="88">
        <v>1746.8974849700001</v>
      </c>
      <c r="D22" s="97">
        <v>1169.37881806</v>
      </c>
      <c r="E22" s="192">
        <v>1834.4278857699999</v>
      </c>
      <c r="F22" s="90">
        <f t="shared" si="0"/>
        <v>-0.33059677049103886</v>
      </c>
      <c r="G22" s="96">
        <f>E22/D22-1</f>
        <v>0.56871995408067733</v>
      </c>
      <c r="H22" s="166"/>
      <c r="I22" s="188" t="s">
        <v>120</v>
      </c>
      <c r="J22" s="88">
        <v>91768.57345874999</v>
      </c>
      <c r="K22" s="97">
        <v>54793.993490070003</v>
      </c>
      <c r="L22" s="192">
        <v>73110.16166120999</v>
      </c>
      <c r="M22" s="68">
        <f t="shared" si="6"/>
        <v>-0.40291113368238285</v>
      </c>
      <c r="N22" s="90">
        <f t="shared" si="6"/>
        <v>0.33427328443325299</v>
      </c>
      <c r="Q22" s="162"/>
    </row>
    <row r="23" spans="1:17" x14ac:dyDescent="0.2">
      <c r="A23" s="170"/>
      <c r="B23" s="188" t="s">
        <v>121</v>
      </c>
      <c r="C23" s="88">
        <v>86.135831999999994</v>
      </c>
      <c r="D23" s="97">
        <v>144.138338</v>
      </c>
      <c r="E23" s="192">
        <v>110.68063600000001</v>
      </c>
      <c r="F23" s="90">
        <f t="shared" si="0"/>
        <v>0.67338417303498055</v>
      </c>
      <c r="G23" s="96">
        <f>E23/D23-1</f>
        <v>-0.2321221575345207</v>
      </c>
      <c r="H23" s="166"/>
      <c r="I23" s="188" t="s">
        <v>121</v>
      </c>
      <c r="J23" s="88">
        <v>5096.7080589999996</v>
      </c>
      <c r="K23" s="97">
        <v>5139.8992390000003</v>
      </c>
      <c r="L23" s="192">
        <v>5420.475778</v>
      </c>
      <c r="M23" s="68">
        <f>K23/J23-1</f>
        <v>8.4743288216659884E-3</v>
      </c>
      <c r="N23" s="90">
        <f t="shared" si="6"/>
        <v>5.4587945396102233E-2</v>
      </c>
      <c r="Q23" s="162"/>
    </row>
    <row r="24" spans="1:17" x14ac:dyDescent="0.2">
      <c r="A24" s="170"/>
      <c r="B24" s="148" t="s">
        <v>122</v>
      </c>
      <c r="C24" s="88">
        <v>731.56681448000006</v>
      </c>
      <c r="D24" s="97">
        <v>712.62001203</v>
      </c>
      <c r="E24" s="192">
        <v>751.52269552999996</v>
      </c>
      <c r="F24" s="90">
        <f t="shared" si="0"/>
        <v>-2.5898936467569911E-2</v>
      </c>
      <c r="G24" s="96">
        <f t="shared" si="0"/>
        <v>5.4591062337949303E-2</v>
      </c>
      <c r="H24" s="166"/>
      <c r="I24" s="148" t="s">
        <v>122</v>
      </c>
      <c r="J24" s="88">
        <v>23520.70076105</v>
      </c>
      <c r="K24" s="97">
        <v>22642.586890449998</v>
      </c>
      <c r="L24" s="192">
        <v>24984.332187870004</v>
      </c>
      <c r="M24" s="68">
        <f>K24/J24-1</f>
        <v>-3.7333661080972025E-2</v>
      </c>
      <c r="N24" s="90">
        <f t="shared" si="6"/>
        <v>0.10342216235052581</v>
      </c>
      <c r="Q24" s="162"/>
    </row>
    <row r="25" spans="1:17" x14ac:dyDescent="0.2">
      <c r="A25" s="170"/>
      <c r="B25" s="149"/>
      <c r="C25" s="98"/>
      <c r="D25" s="100"/>
      <c r="E25" s="196"/>
      <c r="F25" s="102"/>
      <c r="G25" s="99"/>
      <c r="H25" s="166"/>
      <c r="I25" s="149"/>
      <c r="J25" s="98"/>
      <c r="K25" s="100"/>
      <c r="L25" s="196"/>
      <c r="M25" s="101"/>
      <c r="N25" s="102"/>
      <c r="Q25" s="162"/>
    </row>
    <row r="26" spans="1:17" x14ac:dyDescent="0.2">
      <c r="A26" s="170"/>
      <c r="B26" s="191" t="s">
        <v>123</v>
      </c>
      <c r="C26" s="140">
        <v>14495.283854089999</v>
      </c>
      <c r="D26" s="139">
        <v>16330.53410321</v>
      </c>
      <c r="E26" s="189">
        <f t="shared" ref="E26" si="7">SUM(E27:E28)</f>
        <v>17219.869050699999</v>
      </c>
      <c r="F26" s="103">
        <f t="shared" si="0"/>
        <v>0.12661016283597415</v>
      </c>
      <c r="G26" s="104">
        <f>E26/D26-1</f>
        <v>5.4458411578540256E-2</v>
      </c>
      <c r="H26" s="166"/>
      <c r="I26" s="191" t="s">
        <v>123</v>
      </c>
      <c r="J26" s="140">
        <v>93604.040342470005</v>
      </c>
      <c r="K26" s="139">
        <v>100649.58155252998</v>
      </c>
      <c r="L26" s="189">
        <f>SUM(L27:L28)</f>
        <v>111457.26667902</v>
      </c>
      <c r="M26" s="104">
        <f t="shared" ref="M26:M28" si="8">K26/J26-1</f>
        <v>7.5269627083215607E-2</v>
      </c>
      <c r="N26" s="104">
        <f>L26/K26-1</f>
        <v>0.10737933491406904</v>
      </c>
      <c r="Q26" s="162"/>
    </row>
    <row r="27" spans="1:17" x14ac:dyDescent="0.2">
      <c r="A27" s="170"/>
      <c r="B27" s="188" t="s">
        <v>124</v>
      </c>
      <c r="C27" s="88">
        <v>11772.28720121</v>
      </c>
      <c r="D27" s="97">
        <v>13558.9914501</v>
      </c>
      <c r="E27" s="192">
        <v>14187.725119340001</v>
      </c>
      <c r="F27" s="89">
        <f t="shared" si="0"/>
        <v>0.1517720574049839</v>
      </c>
      <c r="G27" s="90">
        <f>E27/D27-1</f>
        <v>4.637023863860934E-2</v>
      </c>
      <c r="H27" s="166"/>
      <c r="I27" s="188" t="s">
        <v>124</v>
      </c>
      <c r="J27" s="88">
        <v>75824.858851440003</v>
      </c>
      <c r="K27" s="97">
        <v>82040.377767349986</v>
      </c>
      <c r="L27" s="192">
        <v>91723.023683420004</v>
      </c>
      <c r="M27" s="90">
        <f t="shared" si="8"/>
        <v>8.197204729504004E-2</v>
      </c>
      <c r="N27" s="90">
        <f t="shared" si="6"/>
        <v>0.1180229318729864</v>
      </c>
      <c r="Q27" s="162"/>
    </row>
    <row r="28" spans="1:17" x14ac:dyDescent="0.2">
      <c r="A28" s="170"/>
      <c r="B28" s="188" t="s">
        <v>125</v>
      </c>
      <c r="C28" s="88">
        <v>2722.9966528800001</v>
      </c>
      <c r="D28" s="97">
        <v>2771.5426531100002</v>
      </c>
      <c r="E28" s="192">
        <v>3032.1439313600004</v>
      </c>
      <c r="F28" s="89">
        <f t="shared" si="0"/>
        <v>1.7828152737042524E-2</v>
      </c>
      <c r="G28" s="90">
        <f>E28/D28-1</f>
        <v>9.4027518558148282E-2</v>
      </c>
      <c r="H28" s="166"/>
      <c r="I28" s="188" t="s">
        <v>125</v>
      </c>
      <c r="J28" s="88">
        <v>17779.181491030002</v>
      </c>
      <c r="K28" s="97">
        <v>18609.203785179998</v>
      </c>
      <c r="L28" s="192">
        <v>19734.242995599998</v>
      </c>
      <c r="M28" s="90">
        <f t="shared" si="8"/>
        <v>4.6685067845713801E-2</v>
      </c>
      <c r="N28" s="90">
        <f t="shared" si="6"/>
        <v>6.0456063752494238E-2</v>
      </c>
      <c r="Q28" s="162"/>
    </row>
    <row r="29" spans="1:17" x14ac:dyDescent="0.2">
      <c r="A29" s="170"/>
      <c r="B29" s="188"/>
      <c r="C29" s="145"/>
      <c r="D29" s="144"/>
      <c r="E29" s="193"/>
      <c r="F29" s="89"/>
      <c r="G29" s="90"/>
      <c r="H29" s="166"/>
      <c r="I29" s="188"/>
      <c r="J29" s="145"/>
      <c r="K29" s="144"/>
      <c r="L29" s="193"/>
      <c r="M29" s="90"/>
      <c r="N29" s="90"/>
      <c r="Q29" s="162"/>
    </row>
    <row r="30" spans="1:17" x14ac:dyDescent="0.2">
      <c r="A30" s="170"/>
      <c r="B30" s="194" t="s">
        <v>126</v>
      </c>
      <c r="C30" s="146">
        <v>430.00702884999998</v>
      </c>
      <c r="D30" s="147">
        <v>474.25744626999995</v>
      </c>
      <c r="E30" s="195">
        <f>SUM(E31:E33)</f>
        <v>428.97790900000007</v>
      </c>
      <c r="F30" s="95">
        <f t="shared" si="0"/>
        <v>0.10290626536580616</v>
      </c>
      <c r="G30" s="93">
        <f>E30/D30-1</f>
        <v>-9.5474594286542258E-2</v>
      </c>
      <c r="H30" s="166"/>
      <c r="I30" s="194" t="s">
        <v>126</v>
      </c>
      <c r="J30" s="146">
        <v>3216.4763345500005</v>
      </c>
      <c r="K30" s="147">
        <v>2980.99903348</v>
      </c>
      <c r="L30" s="195">
        <f>SUM(L31:L33)</f>
        <v>2699.5024971100001</v>
      </c>
      <c r="M30" s="94">
        <f t="shared" ref="M30:N37" si="9">K30/J30-1</f>
        <v>-7.3209710433931985E-2</v>
      </c>
      <c r="N30" s="95">
        <f t="shared" si="9"/>
        <v>-9.4430267574217353E-2</v>
      </c>
      <c r="Q30" s="162"/>
    </row>
    <row r="31" spans="1:17" x14ac:dyDescent="0.2">
      <c r="A31" s="170"/>
      <c r="B31" s="188" t="s">
        <v>127</v>
      </c>
      <c r="C31" s="88">
        <v>15.4833435</v>
      </c>
      <c r="D31" s="97">
        <v>17.864821500000001</v>
      </c>
      <c r="E31" s="192">
        <v>16.252331999999999</v>
      </c>
      <c r="F31" s="90">
        <f t="shared" si="0"/>
        <v>0.15380902710063893</v>
      </c>
      <c r="G31" s="96">
        <f>E31/D31-1</f>
        <v>-9.0260599581137857E-2</v>
      </c>
      <c r="H31" s="166"/>
      <c r="I31" s="188" t="s">
        <v>127</v>
      </c>
      <c r="J31" s="88">
        <v>115.75279200000001</v>
      </c>
      <c r="K31" s="97">
        <v>113.1191175</v>
      </c>
      <c r="L31" s="192">
        <v>99.302980500000004</v>
      </c>
      <c r="M31" s="68">
        <f t="shared" si="9"/>
        <v>-2.2752578615987229E-2</v>
      </c>
      <c r="N31" s="90">
        <f t="shared" si="9"/>
        <v>-0.12213794896340135</v>
      </c>
      <c r="Q31" s="162"/>
    </row>
    <row r="32" spans="1:17" x14ac:dyDescent="0.2">
      <c r="A32" s="170"/>
      <c r="B32" s="188" t="s">
        <v>128</v>
      </c>
      <c r="C32" s="88">
        <v>271.87904085000002</v>
      </c>
      <c r="D32" s="97">
        <v>305.10169801999996</v>
      </c>
      <c r="E32" s="192">
        <v>268.39290225000002</v>
      </c>
      <c r="F32" s="90">
        <f t="shared" si="0"/>
        <v>0.12219646305258736</v>
      </c>
      <c r="G32" s="96">
        <f>E32/D32-1</f>
        <v>-0.1203165895444922</v>
      </c>
      <c r="H32" s="166"/>
      <c r="I32" s="188" t="s">
        <v>128</v>
      </c>
      <c r="J32" s="88">
        <v>2070.7176950500002</v>
      </c>
      <c r="K32" s="97">
        <v>1903.27967373</v>
      </c>
      <c r="L32" s="192">
        <v>1637.50613436</v>
      </c>
      <c r="M32" s="68">
        <f t="shared" si="9"/>
        <v>-8.0859897860658059E-2</v>
      </c>
      <c r="N32" s="90">
        <f t="shared" si="9"/>
        <v>-0.13963977183087528</v>
      </c>
      <c r="Q32" s="162"/>
    </row>
    <row r="33" spans="1:17" x14ac:dyDescent="0.2">
      <c r="A33" s="170"/>
      <c r="B33" s="197" t="s">
        <v>129</v>
      </c>
      <c r="C33" s="88">
        <v>142.6446445</v>
      </c>
      <c r="D33" s="97">
        <v>151.29092675000001</v>
      </c>
      <c r="E33" s="192">
        <v>144.33267475</v>
      </c>
      <c r="F33" s="90">
        <f t="shared" si="0"/>
        <v>6.0614138584081267E-2</v>
      </c>
      <c r="G33" s="96">
        <f t="shared" si="0"/>
        <v>-4.599252677920429E-2</v>
      </c>
      <c r="H33" s="166"/>
      <c r="I33" s="197" t="s">
        <v>129</v>
      </c>
      <c r="J33" s="88">
        <v>1030.0058475000001</v>
      </c>
      <c r="K33" s="97">
        <v>964.60024225000006</v>
      </c>
      <c r="L33" s="192">
        <v>962.69338225000001</v>
      </c>
      <c r="M33" s="68">
        <f t="shared" si="9"/>
        <v>-6.3500227118856278E-2</v>
      </c>
      <c r="N33" s="90">
        <f t="shared" si="9"/>
        <v>-1.9768396445268843E-3</v>
      </c>
      <c r="Q33" s="162"/>
    </row>
    <row r="34" spans="1:17" x14ac:dyDescent="0.2">
      <c r="A34" s="170"/>
      <c r="B34" s="198"/>
      <c r="C34" s="98"/>
      <c r="D34" s="100"/>
      <c r="E34" s="196"/>
      <c r="F34" s="102"/>
      <c r="G34" s="99"/>
      <c r="H34" s="166"/>
      <c r="I34" s="198"/>
      <c r="J34" s="98"/>
      <c r="K34" s="100"/>
      <c r="L34" s="196"/>
      <c r="M34" s="101"/>
      <c r="N34" s="102"/>
      <c r="Q34" s="162"/>
    </row>
    <row r="35" spans="1:17" x14ac:dyDescent="0.2">
      <c r="A35" s="170"/>
      <c r="B35" s="191" t="s">
        <v>130</v>
      </c>
      <c r="C35" s="140">
        <v>186063.93971107001</v>
      </c>
      <c r="D35" s="139">
        <v>206028.62371404003</v>
      </c>
      <c r="E35" s="199">
        <f t="shared" ref="E35" si="10">SUM(E36:E37)</f>
        <v>209768.42775202001</v>
      </c>
      <c r="F35" s="105">
        <f t="shared" si="0"/>
        <v>0.1073001250751342</v>
      </c>
      <c r="G35" s="104">
        <f>E35/D35-1</f>
        <v>1.8151866330819555E-2</v>
      </c>
      <c r="H35" s="166"/>
      <c r="I35" s="191" t="s">
        <v>130</v>
      </c>
      <c r="J35" s="140">
        <v>1337692.4334124902</v>
      </c>
      <c r="K35" s="139">
        <v>1404753.31942651</v>
      </c>
      <c r="L35" s="199">
        <f>SUM(L36:L37)</f>
        <v>1455785.4692313098</v>
      </c>
      <c r="M35" s="104">
        <f t="shared" ref="M35:M37" si="11">K35/J35-1</f>
        <v>5.0131767466865096E-2</v>
      </c>
      <c r="N35" s="104">
        <f t="shared" si="9"/>
        <v>3.6328193070676473E-2</v>
      </c>
      <c r="Q35" s="162"/>
    </row>
    <row r="36" spans="1:17" x14ac:dyDescent="0.2">
      <c r="A36" s="170"/>
      <c r="B36" s="188" t="s">
        <v>131</v>
      </c>
      <c r="C36" s="88">
        <v>113171.42980008</v>
      </c>
      <c r="D36" s="97">
        <v>129209.70528313001</v>
      </c>
      <c r="E36" s="200">
        <v>130446.13639757001</v>
      </c>
      <c r="F36" s="68">
        <f t="shared" si="0"/>
        <v>0.14171664625411196</v>
      </c>
      <c r="G36" s="90">
        <f>E36/D36-1</f>
        <v>9.5691814460119318E-3</v>
      </c>
      <c r="H36" s="166"/>
      <c r="I36" s="188" t="s">
        <v>131</v>
      </c>
      <c r="J36" s="88">
        <v>845877.99137623014</v>
      </c>
      <c r="K36" s="97">
        <v>891015.59068640997</v>
      </c>
      <c r="L36" s="200">
        <v>916971.74121958006</v>
      </c>
      <c r="M36" s="90">
        <f t="shared" si="11"/>
        <v>5.3361832049491742E-2</v>
      </c>
      <c r="N36" s="90">
        <f t="shared" si="9"/>
        <v>2.9130972347155337E-2</v>
      </c>
      <c r="Q36" s="162"/>
    </row>
    <row r="37" spans="1:17" x14ac:dyDescent="0.2">
      <c r="A37" s="170"/>
      <c r="B37" s="188" t="s">
        <v>132</v>
      </c>
      <c r="C37" s="88">
        <v>72892.509910990004</v>
      </c>
      <c r="D37" s="97">
        <v>76818.918430910009</v>
      </c>
      <c r="E37" s="200">
        <v>79322.29135444999</v>
      </c>
      <c r="F37" s="68">
        <f t="shared" si="0"/>
        <v>5.3865733594776755E-2</v>
      </c>
      <c r="G37" s="90">
        <f>E37/D37-1</f>
        <v>3.2587974091193184E-2</v>
      </c>
      <c r="H37" s="166"/>
      <c r="I37" s="188" t="s">
        <v>132</v>
      </c>
      <c r="J37" s="88">
        <v>491814.44203626004</v>
      </c>
      <c r="K37" s="97">
        <v>513737.72874009993</v>
      </c>
      <c r="L37" s="200">
        <v>538813.72801172989</v>
      </c>
      <c r="M37" s="90">
        <f t="shared" si="11"/>
        <v>4.4576337801449872E-2</v>
      </c>
      <c r="N37" s="90">
        <f t="shared" si="9"/>
        <v>4.8810896823028305E-2</v>
      </c>
      <c r="Q37" s="162"/>
    </row>
    <row r="38" spans="1:17" x14ac:dyDescent="0.2">
      <c r="A38" s="170"/>
      <c r="B38" s="201" t="s">
        <v>47</v>
      </c>
      <c r="C38" s="150"/>
      <c r="D38" s="151"/>
      <c r="E38" s="200"/>
      <c r="F38" s="68"/>
      <c r="G38" s="102"/>
      <c r="H38" s="166"/>
      <c r="I38" s="201" t="s">
        <v>47</v>
      </c>
      <c r="J38" s="150"/>
      <c r="K38" s="151"/>
      <c r="L38" s="202"/>
      <c r="M38" s="90"/>
      <c r="N38" s="90"/>
      <c r="Q38" s="162"/>
    </row>
    <row r="39" spans="1:17" x14ac:dyDescent="0.2">
      <c r="A39" s="170"/>
      <c r="B39" s="194" t="s">
        <v>133</v>
      </c>
      <c r="C39" s="146">
        <v>23099.418194779999</v>
      </c>
      <c r="D39" s="147">
        <v>25352.246884010001</v>
      </c>
      <c r="E39" s="203">
        <f t="shared" ref="E39" si="12">SUM(E40:E41)</f>
        <v>23559.27399116</v>
      </c>
      <c r="F39" s="106">
        <f t="shared" si="0"/>
        <v>9.7527507846024264E-2</v>
      </c>
      <c r="G39" s="95">
        <f>E39/D39-1</f>
        <v>-7.0722445274894019E-2</v>
      </c>
      <c r="H39" s="166"/>
      <c r="I39" s="194" t="s">
        <v>133</v>
      </c>
      <c r="J39" s="146">
        <v>153654.90410818998</v>
      </c>
      <c r="K39" s="147">
        <v>187694.87498090998</v>
      </c>
      <c r="L39" s="203">
        <f>SUM(L40:L41)</f>
        <v>170414.43372573002</v>
      </c>
      <c r="M39" s="95">
        <f t="shared" ref="M39:M41" si="13">K39/J39-1</f>
        <v>0.22153520624862133</v>
      </c>
      <c r="N39" s="95">
        <f>L39/K39-1</f>
        <v>-9.2066665416077664E-2</v>
      </c>
      <c r="Q39" s="162"/>
    </row>
    <row r="40" spans="1:17" x14ac:dyDescent="0.2">
      <c r="A40" s="170"/>
      <c r="B40" s="188" t="s">
        <v>134</v>
      </c>
      <c r="C40" s="88">
        <v>834.77188899999999</v>
      </c>
      <c r="D40" s="97">
        <v>811.08335199999999</v>
      </c>
      <c r="E40" s="200">
        <v>744.79693699999996</v>
      </c>
      <c r="F40" s="89">
        <f t="shared" si="0"/>
        <v>-2.8377257682188239E-2</v>
      </c>
      <c r="G40" s="90">
        <f>E40/D40-1</f>
        <v>-8.1725774344336477E-2</v>
      </c>
      <c r="H40" s="166"/>
      <c r="I40" s="188" t="s">
        <v>134</v>
      </c>
      <c r="J40" s="88">
        <v>6833.3395979999996</v>
      </c>
      <c r="K40" s="97">
        <v>7521.5067099999997</v>
      </c>
      <c r="L40" s="200">
        <v>6599.1209349999999</v>
      </c>
      <c r="M40" s="90">
        <f t="shared" si="13"/>
        <v>0.10070728991742417</v>
      </c>
      <c r="N40" s="90">
        <f>L40/K40-1</f>
        <v>-0.12263311202975713</v>
      </c>
      <c r="Q40" s="162"/>
    </row>
    <row r="41" spans="1:17" x14ac:dyDescent="0.2">
      <c r="A41" s="170"/>
      <c r="B41" s="188" t="s">
        <v>135</v>
      </c>
      <c r="C41" s="88">
        <v>22264.646305779999</v>
      </c>
      <c r="D41" s="97">
        <v>24541.163532009999</v>
      </c>
      <c r="E41" s="200">
        <v>22814.477054160001</v>
      </c>
      <c r="F41" s="89">
        <f t="shared" si="0"/>
        <v>0.10224807504078814</v>
      </c>
      <c r="G41" s="90">
        <f>E41/D41-1</f>
        <v>-7.0358786191934808E-2</v>
      </c>
      <c r="H41" s="166"/>
      <c r="I41" s="188" t="s">
        <v>135</v>
      </c>
      <c r="J41" s="88">
        <v>146821.56451018999</v>
      </c>
      <c r="K41" s="97">
        <v>180173.36827091</v>
      </c>
      <c r="L41" s="200">
        <v>163815.31279073001</v>
      </c>
      <c r="M41" s="90">
        <f t="shared" si="13"/>
        <v>0.22715875472369906</v>
      </c>
      <c r="N41" s="90">
        <f>L41/K41-1</f>
        <v>-9.0790640354704855E-2</v>
      </c>
      <c r="Q41" s="162"/>
    </row>
    <row r="42" spans="1:17" x14ac:dyDescent="0.2">
      <c r="A42" s="170"/>
      <c r="B42" s="204" t="s">
        <v>47</v>
      </c>
      <c r="C42" s="150"/>
      <c r="D42" s="151"/>
      <c r="E42" s="200"/>
      <c r="F42" s="107"/>
      <c r="G42" s="102"/>
      <c r="H42" s="166"/>
      <c r="I42" s="204" t="s">
        <v>47</v>
      </c>
      <c r="J42" s="150"/>
      <c r="K42" s="151"/>
      <c r="L42" s="202"/>
      <c r="M42" s="102"/>
      <c r="N42" s="102"/>
      <c r="Q42" s="162"/>
    </row>
    <row r="43" spans="1:17" x14ac:dyDescent="0.2">
      <c r="A43" s="170"/>
      <c r="B43" s="194" t="s">
        <v>136</v>
      </c>
      <c r="C43" s="146">
        <v>78204.585706919999</v>
      </c>
      <c r="D43" s="147">
        <v>76109.483749439984</v>
      </c>
      <c r="E43" s="203">
        <f>SUM(E44:E57)-E45-E46</f>
        <v>79338.09661517998</v>
      </c>
      <c r="F43" s="105">
        <f t="shared" si="0"/>
        <v>-2.6790014147400898E-2</v>
      </c>
      <c r="G43" s="104">
        <f>E43/D43-1</f>
        <v>4.2420638095101326E-2</v>
      </c>
      <c r="H43" s="166"/>
      <c r="I43" s="194" t="s">
        <v>136</v>
      </c>
      <c r="J43" s="146">
        <v>571746.38884688984</v>
      </c>
      <c r="K43" s="147">
        <v>623684.67165076034</v>
      </c>
      <c r="L43" s="203">
        <f>SUM(L44:L57)-L45-L46</f>
        <v>598311.17940357013</v>
      </c>
      <c r="M43" s="95">
        <f t="shared" ref="M43:M59" si="14">K43/J43-1</f>
        <v>9.08414706538343E-2</v>
      </c>
      <c r="N43" s="93">
        <f>L43/K43-1</f>
        <v>-4.0683206435123687E-2</v>
      </c>
      <c r="Q43" s="162"/>
    </row>
    <row r="44" spans="1:17" x14ac:dyDescent="0.2">
      <c r="A44" s="170"/>
      <c r="B44" s="188" t="s">
        <v>137</v>
      </c>
      <c r="C44" s="88">
        <v>44653.293832620002</v>
      </c>
      <c r="D44" s="97">
        <v>43427.033817739997</v>
      </c>
      <c r="E44" s="200">
        <v>45605.638051080001</v>
      </c>
      <c r="F44" s="68">
        <f>D44/C44-1</f>
        <v>-2.7461804261888489E-2</v>
      </c>
      <c r="G44" s="90">
        <f>E44/D44-1</f>
        <v>5.016700524570572E-2</v>
      </c>
      <c r="H44" s="166"/>
      <c r="I44" s="188" t="s">
        <v>137</v>
      </c>
      <c r="J44" s="88">
        <v>342261.15248161001</v>
      </c>
      <c r="K44" s="97">
        <v>386577.58436128002</v>
      </c>
      <c r="L44" s="192">
        <v>368792.99235836003</v>
      </c>
      <c r="M44" s="90">
        <f>K44/J44-1</f>
        <v>0.12948133773975767</v>
      </c>
      <c r="N44" s="96">
        <f>L44/K44-1</f>
        <v>-4.6005233418550229E-2</v>
      </c>
      <c r="Q44" s="162"/>
    </row>
    <row r="45" spans="1:17" x14ac:dyDescent="0.2">
      <c r="A45" s="170"/>
      <c r="B45" s="188" t="s">
        <v>138</v>
      </c>
      <c r="C45" s="88">
        <v>21783.480722</v>
      </c>
      <c r="D45" s="97">
        <v>26095.327054000001</v>
      </c>
      <c r="E45" s="200">
        <v>27256.523024999999</v>
      </c>
      <c r="F45" s="68">
        <f t="shared" ref="F45:G59" si="15">D45/C45-1</f>
        <v>0.19794110900033046</v>
      </c>
      <c r="G45" s="90">
        <f t="shared" si="15"/>
        <v>4.4498234055357688E-2</v>
      </c>
      <c r="H45" s="166"/>
      <c r="I45" s="188" t="s">
        <v>138</v>
      </c>
      <c r="J45" s="88">
        <v>204648.13460500003</v>
      </c>
      <c r="K45" s="97">
        <v>228731.96944099996</v>
      </c>
      <c r="L45" s="192">
        <v>225259.07130099999</v>
      </c>
      <c r="M45" s="90">
        <f t="shared" ref="M45:N56" si="16">K45/J45-1</f>
        <v>0.11768411611708629</v>
      </c>
      <c r="N45" s="96">
        <f t="shared" si="16"/>
        <v>-1.5183265148669078E-2</v>
      </c>
      <c r="Q45" s="162"/>
    </row>
    <row r="46" spans="1:17" x14ac:dyDescent="0.2">
      <c r="A46" s="170"/>
      <c r="B46" s="188" t="s">
        <v>139</v>
      </c>
      <c r="C46" s="88">
        <v>22869.813110619998</v>
      </c>
      <c r="D46" s="97">
        <v>17331.706763740003</v>
      </c>
      <c r="E46" s="200">
        <v>18349.115026080002</v>
      </c>
      <c r="F46" s="68">
        <f t="shared" si="15"/>
        <v>-0.24215791882917825</v>
      </c>
      <c r="G46" s="90">
        <f t="shared" si="15"/>
        <v>5.8702139160843547E-2</v>
      </c>
      <c r="H46" s="166"/>
      <c r="I46" s="188" t="s">
        <v>139</v>
      </c>
      <c r="J46" s="88">
        <v>137613.01787660999</v>
      </c>
      <c r="K46" s="97">
        <v>157845.61492028</v>
      </c>
      <c r="L46" s="192">
        <v>143533.92105736001</v>
      </c>
      <c r="M46" s="90">
        <f t="shared" si="16"/>
        <v>0.14702531312707245</v>
      </c>
      <c r="N46" s="96">
        <f t="shared" si="16"/>
        <v>-9.0668935403420026E-2</v>
      </c>
      <c r="Q46" s="162"/>
    </row>
    <row r="47" spans="1:17" x14ac:dyDescent="0.2">
      <c r="A47" s="170"/>
      <c r="B47" s="188" t="s">
        <v>140</v>
      </c>
      <c r="C47" s="88">
        <v>4672.2368455299993</v>
      </c>
      <c r="D47" s="97">
        <v>3942.3203491300001</v>
      </c>
      <c r="E47" s="200">
        <v>4842.9871297399995</v>
      </c>
      <c r="F47" s="68">
        <f t="shared" si="0"/>
        <v>-0.15622420706226003</v>
      </c>
      <c r="G47" s="90">
        <f t="shared" si="15"/>
        <v>0.2284610840437562</v>
      </c>
      <c r="H47" s="166"/>
      <c r="I47" s="188" t="s">
        <v>140</v>
      </c>
      <c r="J47" s="88">
        <v>33321.432078849997</v>
      </c>
      <c r="K47" s="97">
        <v>36269.466515470005</v>
      </c>
      <c r="L47" s="192">
        <v>35972.312337249998</v>
      </c>
      <c r="M47" s="90">
        <f>K47/J47-1</f>
        <v>8.8472621153975028E-2</v>
      </c>
      <c r="N47" s="96">
        <f t="shared" si="16"/>
        <v>-8.1929569626634224E-3</v>
      </c>
      <c r="Q47" s="162"/>
    </row>
    <row r="48" spans="1:17" x14ac:dyDescent="0.2">
      <c r="A48" s="170"/>
      <c r="B48" s="188" t="s">
        <v>141</v>
      </c>
      <c r="C48" s="88">
        <v>330.06952624000002</v>
      </c>
      <c r="D48" s="97">
        <v>127.43640723</v>
      </c>
      <c r="E48" s="200">
        <v>270.98334582000001</v>
      </c>
      <c r="F48" s="68">
        <f t="shared" si="0"/>
        <v>-0.61391041250703493</v>
      </c>
      <c r="G48" s="90">
        <f t="shared" si="15"/>
        <v>1.1264201628889565</v>
      </c>
      <c r="H48" s="166"/>
      <c r="I48" s="188" t="s">
        <v>141</v>
      </c>
      <c r="J48" s="88">
        <v>1997.8125153099998</v>
      </c>
      <c r="K48" s="97">
        <v>1547.05941949</v>
      </c>
      <c r="L48" s="192">
        <v>1610.6997378500002</v>
      </c>
      <c r="M48" s="90">
        <f t="shared" si="14"/>
        <v>-0.22562332169095289</v>
      </c>
      <c r="N48" s="96">
        <f>L48/K48-1</f>
        <v>4.1136311610435516E-2</v>
      </c>
      <c r="Q48" s="162"/>
    </row>
    <row r="49" spans="1:17" x14ac:dyDescent="0.2">
      <c r="A49" s="170"/>
      <c r="B49" s="188" t="s">
        <v>142</v>
      </c>
      <c r="C49" s="88">
        <v>4334.2184716000002</v>
      </c>
      <c r="D49" s="97">
        <v>3952.8947044400002</v>
      </c>
      <c r="E49" s="200">
        <v>4143.2395221400002</v>
      </c>
      <c r="F49" s="68">
        <f t="shared" si="0"/>
        <v>-8.7979821427698446E-2</v>
      </c>
      <c r="G49" s="90">
        <f t="shared" si="15"/>
        <v>4.8153272963785021E-2</v>
      </c>
      <c r="H49" s="166"/>
      <c r="I49" s="188" t="s">
        <v>142</v>
      </c>
      <c r="J49" s="88">
        <v>31597.869770730005</v>
      </c>
      <c r="K49" s="97">
        <v>33343.566629609995</v>
      </c>
      <c r="L49" s="192">
        <v>33581.928019120001</v>
      </c>
      <c r="M49" s="90">
        <f t="shared" si="14"/>
        <v>5.5247295831856391E-2</v>
      </c>
      <c r="N49" s="96">
        <f t="shared" si="16"/>
        <v>7.1486470586004103E-3</v>
      </c>
      <c r="Q49" s="162"/>
    </row>
    <row r="50" spans="1:17" x14ac:dyDescent="0.2">
      <c r="A50" s="170"/>
      <c r="B50" s="148" t="s">
        <v>143</v>
      </c>
      <c r="C50" s="88">
        <v>2854.0447872199998</v>
      </c>
      <c r="D50" s="97">
        <v>1008.23087277</v>
      </c>
      <c r="E50" s="200">
        <v>2080.1472029800002</v>
      </c>
      <c r="F50" s="68">
        <f>D50/C50-1</f>
        <v>-0.64673614188371809</v>
      </c>
      <c r="G50" s="90">
        <f t="shared" si="15"/>
        <v>1.0631655498358543</v>
      </c>
      <c r="H50" s="166"/>
      <c r="I50" s="148" t="s">
        <v>143</v>
      </c>
      <c r="J50" s="88">
        <v>15535.02334186</v>
      </c>
      <c r="K50" s="97">
        <v>14707.954613669999</v>
      </c>
      <c r="L50" s="192">
        <v>12019.95127397</v>
      </c>
      <c r="M50" s="90">
        <f t="shared" si="14"/>
        <v>-5.3238975570858438E-2</v>
      </c>
      <c r="N50" s="96">
        <f t="shared" si="16"/>
        <v>-0.18275847392143096</v>
      </c>
      <c r="Q50" s="162"/>
    </row>
    <row r="51" spans="1:17" x14ac:dyDescent="0.2">
      <c r="A51" s="170"/>
      <c r="B51" s="188" t="s">
        <v>144</v>
      </c>
      <c r="C51" s="88">
        <v>2361.6368590000002</v>
      </c>
      <c r="D51" s="97">
        <v>2700.667586</v>
      </c>
      <c r="E51" s="200">
        <v>2714.8039543300001</v>
      </c>
      <c r="F51" s="68">
        <f t="shared" si="0"/>
        <v>0.14355751846774512</v>
      </c>
      <c r="G51" s="90">
        <f t="shared" si="15"/>
        <v>5.2343977479056836E-3</v>
      </c>
      <c r="H51" s="166"/>
      <c r="I51" s="188" t="s">
        <v>144</v>
      </c>
      <c r="J51" s="88">
        <v>17509.255237999998</v>
      </c>
      <c r="K51" s="97">
        <v>18508.461275000001</v>
      </c>
      <c r="L51" s="192">
        <v>18780.206445329997</v>
      </c>
      <c r="M51" s="90">
        <f t="shared" si="14"/>
        <v>5.7067306599737355E-2</v>
      </c>
      <c r="N51" s="96">
        <f t="shared" si="16"/>
        <v>1.4682212977750408E-2</v>
      </c>
      <c r="Q51" s="162"/>
    </row>
    <row r="52" spans="1:17" x14ac:dyDescent="0.2">
      <c r="A52" s="170"/>
      <c r="B52" s="188" t="s">
        <v>145</v>
      </c>
      <c r="C52" s="88">
        <v>4977.2806478000002</v>
      </c>
      <c r="D52" s="97">
        <v>6206.8232209999996</v>
      </c>
      <c r="E52" s="200">
        <v>5229.999847</v>
      </c>
      <c r="F52" s="68">
        <f t="shared" si="0"/>
        <v>0.2470309914598583</v>
      </c>
      <c r="G52" s="90">
        <f t="shared" si="15"/>
        <v>-0.15737895848153716</v>
      </c>
      <c r="H52" s="166"/>
      <c r="I52" s="188" t="s">
        <v>145</v>
      </c>
      <c r="J52" s="88">
        <v>34525.222846800003</v>
      </c>
      <c r="K52" s="97">
        <v>37909.401716</v>
      </c>
      <c r="L52" s="192">
        <v>37366.563616439998</v>
      </c>
      <c r="M52" s="90">
        <f t="shared" si="14"/>
        <v>9.8020478657494303E-2</v>
      </c>
      <c r="N52" s="96">
        <f t="shared" si="16"/>
        <v>-1.4319352851482559E-2</v>
      </c>
      <c r="Q52" s="162"/>
    </row>
    <row r="53" spans="1:17" x14ac:dyDescent="0.2">
      <c r="A53" s="170"/>
      <c r="B53" s="188" t="s">
        <v>146</v>
      </c>
      <c r="C53" s="88">
        <v>772.60025582000003</v>
      </c>
      <c r="D53" s="97">
        <v>753.30783813999994</v>
      </c>
      <c r="E53" s="200">
        <v>52.832253430000002</v>
      </c>
      <c r="F53" s="68">
        <f t="shared" si="0"/>
        <v>-2.497076273877763E-2</v>
      </c>
      <c r="G53" s="90">
        <f t="shared" si="15"/>
        <v>-0.92986631659050745</v>
      </c>
      <c r="H53" s="166"/>
      <c r="I53" s="188" t="s">
        <v>146</v>
      </c>
      <c r="J53" s="88">
        <v>4607.4710586499996</v>
      </c>
      <c r="K53" s="97">
        <v>4864.0945951000003</v>
      </c>
      <c r="L53" s="192">
        <v>1697.9817972999999</v>
      </c>
      <c r="M53" s="90">
        <f t="shared" si="14"/>
        <v>5.5697264981886097E-2</v>
      </c>
      <c r="N53" s="96">
        <f t="shared" si="16"/>
        <v>-0.65091513659900535</v>
      </c>
      <c r="Q53" s="162"/>
    </row>
    <row r="54" spans="1:17" x14ac:dyDescent="0.2">
      <c r="A54" s="170"/>
      <c r="B54" s="188" t="s">
        <v>147</v>
      </c>
      <c r="C54" s="88">
        <v>4651.3273846800003</v>
      </c>
      <c r="D54" s="97">
        <v>5575.0820607700007</v>
      </c>
      <c r="E54" s="200">
        <v>5642.4436068500008</v>
      </c>
      <c r="F54" s="68">
        <f t="shared" si="0"/>
        <v>0.19860022735285332</v>
      </c>
      <c r="G54" s="90">
        <f t="shared" si="15"/>
        <v>1.2082610685500317E-2</v>
      </c>
      <c r="H54" s="166"/>
      <c r="I54" s="188" t="s">
        <v>147</v>
      </c>
      <c r="J54" s="88">
        <v>34544.151805360001</v>
      </c>
      <c r="K54" s="97">
        <v>37857.976992650001</v>
      </c>
      <c r="L54" s="192">
        <v>37756.579537090001</v>
      </c>
      <c r="M54" s="90">
        <f t="shared" si="14"/>
        <v>9.5930136190977899E-2</v>
      </c>
      <c r="N54" s="96">
        <f t="shared" si="16"/>
        <v>-2.678364339956274E-3</v>
      </c>
      <c r="Q54" s="162"/>
    </row>
    <row r="55" spans="1:17" x14ac:dyDescent="0.2">
      <c r="A55" s="170"/>
      <c r="B55" s="188" t="s">
        <v>148</v>
      </c>
      <c r="C55" s="88">
        <v>0</v>
      </c>
      <c r="D55" s="97">
        <v>228.62986577000001</v>
      </c>
      <c r="E55" s="200">
        <v>175.19429450999999</v>
      </c>
      <c r="F55" s="68" t="e">
        <f t="shared" si="0"/>
        <v>#DIV/0!</v>
      </c>
      <c r="G55" s="90">
        <f t="shared" si="15"/>
        <v>-0.23372087054346524</v>
      </c>
      <c r="H55" s="166"/>
      <c r="I55" s="188" t="s">
        <v>148</v>
      </c>
      <c r="J55" s="88">
        <v>1064.9511271000001</v>
      </c>
      <c r="K55" s="97">
        <v>804.44711267000002</v>
      </c>
      <c r="L55" s="192">
        <v>347.26550637000003</v>
      </c>
      <c r="M55" s="90">
        <f t="shared" si="14"/>
        <v>-0.24461593382166402</v>
      </c>
      <c r="N55" s="96">
        <f t="shared" si="16"/>
        <v>-0.56831779131208693</v>
      </c>
      <c r="Q55" s="162"/>
    </row>
    <row r="56" spans="1:17" x14ac:dyDescent="0.2">
      <c r="A56" s="170"/>
      <c r="B56" s="188" t="s">
        <v>149</v>
      </c>
      <c r="C56" s="88">
        <v>2397.1328896100003</v>
      </c>
      <c r="D56" s="97">
        <v>2141.03509102</v>
      </c>
      <c r="E56" s="200">
        <v>1781.2672543900001</v>
      </c>
      <c r="F56" s="68">
        <f t="shared" si="0"/>
        <v>-0.1068350443565379</v>
      </c>
      <c r="G56" s="90">
        <f t="shared" si="15"/>
        <v>-0.16803453532310142</v>
      </c>
      <c r="H56" s="166"/>
      <c r="I56" s="188" t="s">
        <v>149</v>
      </c>
      <c r="J56" s="88">
        <v>18222.79055718</v>
      </c>
      <c r="K56" s="97">
        <v>14065.477676659999</v>
      </c>
      <c r="L56" s="192">
        <v>10408.89378896</v>
      </c>
      <c r="M56" s="90">
        <f t="shared" si="14"/>
        <v>-0.22813810362771081</v>
      </c>
      <c r="N56" s="96">
        <f t="shared" si="16"/>
        <v>-0.25996869582095095</v>
      </c>
      <c r="Q56" s="162"/>
    </row>
    <row r="57" spans="1:17" x14ac:dyDescent="0.2">
      <c r="A57" s="170"/>
      <c r="B57" s="188" t="s">
        <v>150</v>
      </c>
      <c r="C57" s="88">
        <v>6200.7442068</v>
      </c>
      <c r="D57" s="97">
        <v>6046.0219354299998</v>
      </c>
      <c r="E57" s="200">
        <v>6798.5601529100004</v>
      </c>
      <c r="F57" s="68">
        <f t="shared" si="0"/>
        <v>-2.4952209962205041E-2</v>
      </c>
      <c r="G57" s="90">
        <f t="shared" si="15"/>
        <v>0.12446832405123898</v>
      </c>
      <c r="H57" s="166"/>
      <c r="I57" s="188" t="s">
        <v>150</v>
      </c>
      <c r="J57" s="88">
        <v>36559.256025440001</v>
      </c>
      <c r="K57" s="97">
        <v>37229.180743159995</v>
      </c>
      <c r="L57" s="192">
        <v>39975.804985529998</v>
      </c>
      <c r="M57" s="90">
        <f t="shared" si="14"/>
        <v>1.8324353133822635E-2</v>
      </c>
      <c r="N57" s="96">
        <f>L57/K57-1</f>
        <v>7.3776112918483516E-2</v>
      </c>
      <c r="Q57" s="162"/>
    </row>
    <row r="58" spans="1:17" x14ac:dyDescent="0.2">
      <c r="A58" s="170"/>
      <c r="B58" s="188" t="s">
        <v>151</v>
      </c>
      <c r="C58" s="88">
        <v>0</v>
      </c>
      <c r="D58" s="97">
        <v>0</v>
      </c>
      <c r="E58" s="200">
        <v>0</v>
      </c>
      <c r="F58" s="152" t="e">
        <f t="shared" si="0"/>
        <v>#DIV/0!</v>
      </c>
      <c r="G58" s="142" t="e">
        <f t="shared" si="15"/>
        <v>#DIV/0!</v>
      </c>
      <c r="H58" s="166"/>
      <c r="I58" s="188" t="s">
        <v>151</v>
      </c>
      <c r="J58" s="88">
        <v>0</v>
      </c>
      <c r="K58" s="97">
        <v>0</v>
      </c>
      <c r="L58" s="192">
        <v>0</v>
      </c>
      <c r="M58" s="142" t="e">
        <f t="shared" si="14"/>
        <v>#DIV/0!</v>
      </c>
      <c r="N58" s="164" t="e">
        <f>L58/K58-1</f>
        <v>#DIV/0!</v>
      </c>
      <c r="Q58" s="162"/>
    </row>
    <row r="59" spans="1:17" x14ac:dyDescent="0.2">
      <c r="A59" s="170"/>
      <c r="B59" s="188" t="s">
        <v>152</v>
      </c>
      <c r="C59" s="88">
        <v>354.57668852999996</v>
      </c>
      <c r="D59" s="97">
        <v>0</v>
      </c>
      <c r="E59" s="200">
        <v>0</v>
      </c>
      <c r="F59" s="152">
        <f t="shared" si="0"/>
        <v>-1</v>
      </c>
      <c r="G59" s="142" t="e">
        <f t="shared" si="15"/>
        <v>#DIV/0!</v>
      </c>
      <c r="H59" s="166"/>
      <c r="I59" s="188" t="s">
        <v>152</v>
      </c>
      <c r="J59" s="88">
        <v>1023.57601671</v>
      </c>
      <c r="K59" s="97">
        <v>0</v>
      </c>
      <c r="L59" s="192">
        <v>0</v>
      </c>
      <c r="M59" s="142">
        <f t="shared" si="14"/>
        <v>-1</v>
      </c>
      <c r="N59" s="164" t="e">
        <f>L59/K59-1</f>
        <v>#DIV/0!</v>
      </c>
      <c r="Q59" s="162"/>
    </row>
    <row r="60" spans="1:17" x14ac:dyDescent="0.2">
      <c r="A60" s="170"/>
      <c r="B60" s="205"/>
      <c r="C60" s="153"/>
      <c r="D60" s="154"/>
      <c r="E60" s="206"/>
      <c r="F60" s="101"/>
      <c r="G60" s="102"/>
      <c r="H60" s="166"/>
      <c r="I60" s="205"/>
      <c r="J60" s="155"/>
      <c r="K60" s="156"/>
      <c r="L60" s="207"/>
      <c r="M60" s="102"/>
      <c r="N60" s="99"/>
      <c r="Q60" s="162"/>
    </row>
    <row r="61" spans="1:17" x14ac:dyDescent="0.2">
      <c r="A61" s="170"/>
      <c r="B61" s="208" t="s">
        <v>33</v>
      </c>
      <c r="C61" s="116">
        <v>47031.636510540004</v>
      </c>
      <c r="D61" s="123">
        <v>49095.405736330002</v>
      </c>
      <c r="E61" s="123">
        <v>51894.806111040001</v>
      </c>
      <c r="F61" s="108">
        <f t="shared" si="0"/>
        <v>4.3880446841935816E-2</v>
      </c>
      <c r="G61" s="109">
        <f>E61/D61-1</f>
        <v>5.7019599547549538E-2</v>
      </c>
      <c r="H61" s="166"/>
      <c r="I61" s="208" t="s">
        <v>33</v>
      </c>
      <c r="J61" s="116">
        <v>323395.35155659006</v>
      </c>
      <c r="K61" s="123">
        <v>341216.88624437997</v>
      </c>
      <c r="L61" s="209">
        <v>359431.10309042002</v>
      </c>
      <c r="M61" s="109">
        <f t="shared" ref="M61:M63" si="17">K61/J61-1</f>
        <v>5.5107578392855627E-2</v>
      </c>
      <c r="N61" s="109">
        <f>L61/K61-1</f>
        <v>5.3380174253729651E-2</v>
      </c>
      <c r="Q61" s="162"/>
    </row>
    <row r="62" spans="1:17" x14ac:dyDescent="0.2">
      <c r="A62" s="170"/>
      <c r="B62" s="208" t="s">
        <v>12</v>
      </c>
      <c r="C62" s="117">
        <v>9495.193841190001</v>
      </c>
      <c r="D62" s="117">
        <v>10865.771487389999</v>
      </c>
      <c r="E62" s="117">
        <v>12851.2498815</v>
      </c>
      <c r="F62" s="110">
        <f t="shared" si="0"/>
        <v>0.1443443566422471</v>
      </c>
      <c r="G62" s="111">
        <f t="shared" si="0"/>
        <v>0.18272778848830007</v>
      </c>
      <c r="H62" s="166"/>
      <c r="I62" s="208" t="s">
        <v>12</v>
      </c>
      <c r="J62" s="117">
        <v>104694.52147829</v>
      </c>
      <c r="K62" s="124">
        <v>123007.57495605999</v>
      </c>
      <c r="L62" s="210">
        <v>112691.73959690001</v>
      </c>
      <c r="M62" s="111">
        <f t="shared" si="17"/>
        <v>0.17491892812717502</v>
      </c>
      <c r="N62" s="111">
        <f>L62/K62-1</f>
        <v>-8.3863415426610466E-2</v>
      </c>
      <c r="Q62" s="162"/>
    </row>
    <row r="63" spans="1:17" x14ac:dyDescent="0.2">
      <c r="A63" s="170"/>
      <c r="B63" s="211" t="s">
        <v>153</v>
      </c>
      <c r="C63" s="118">
        <v>4494.6996535899998</v>
      </c>
      <c r="D63" s="125">
        <v>1124.98795305</v>
      </c>
      <c r="E63" s="125">
        <v>4209.2331581300004</v>
      </c>
      <c r="F63" s="112">
        <f t="shared" si="0"/>
        <v>-0.74970786932304778</v>
      </c>
      <c r="G63" s="113">
        <f t="shared" si="0"/>
        <v>2.7415806513466916</v>
      </c>
      <c r="H63" s="166"/>
      <c r="I63" s="208" t="s">
        <v>153</v>
      </c>
      <c r="J63" s="118">
        <v>12396.02772156</v>
      </c>
      <c r="K63" s="125">
        <v>13255.32985308</v>
      </c>
      <c r="L63" s="212">
        <v>13233.857163589999</v>
      </c>
      <c r="M63" s="113">
        <f t="shared" si="17"/>
        <v>6.9320765556650343E-2</v>
      </c>
      <c r="N63" s="113">
        <f>L63/K63-1</f>
        <v>-1.6199287175800992E-3</v>
      </c>
      <c r="Q63" s="162"/>
    </row>
    <row r="64" spans="1:17" x14ac:dyDescent="0.2">
      <c r="A64" s="170"/>
      <c r="B64" s="211" t="s">
        <v>154</v>
      </c>
      <c r="C64" s="118">
        <v>0</v>
      </c>
      <c r="D64" s="125">
        <v>0</v>
      </c>
      <c r="E64" s="125">
        <v>8819.4031481399998</v>
      </c>
      <c r="F64" s="112">
        <v>0</v>
      </c>
      <c r="G64" s="113">
        <v>0</v>
      </c>
      <c r="H64" s="213"/>
      <c r="I64" s="214" t="s">
        <v>154</v>
      </c>
      <c r="J64" s="118">
        <v>7350.7446680000003</v>
      </c>
      <c r="K64" s="125">
        <v>7583.4363540000004</v>
      </c>
      <c r="L64" s="212">
        <v>16361.10381314</v>
      </c>
      <c r="M64" s="119">
        <v>0</v>
      </c>
      <c r="N64" s="113">
        <v>0</v>
      </c>
      <c r="Q64" s="162"/>
    </row>
    <row r="66" spans="5:8" x14ac:dyDescent="0.2">
      <c r="E66" s="162"/>
      <c r="G66" s="161"/>
    </row>
    <row r="67" spans="5:8" x14ac:dyDescent="0.2">
      <c r="F67" s="162"/>
    </row>
    <row r="68" spans="5:8" x14ac:dyDescent="0.2">
      <c r="H68" s="162"/>
    </row>
    <row r="69" spans="5:8" x14ac:dyDescent="0.2">
      <c r="H69" s="161"/>
    </row>
  </sheetData>
  <mergeCells count="10">
    <mergeCell ref="B5:G5"/>
    <mergeCell ref="I5:N5"/>
    <mergeCell ref="F7:G7"/>
    <mergeCell ref="M7:N7"/>
    <mergeCell ref="B2:G2"/>
    <mergeCell ref="I2:N2"/>
    <mergeCell ref="B3:G3"/>
    <mergeCell ref="I3:N3"/>
    <mergeCell ref="B4:G4"/>
    <mergeCell ref="I4:N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427B3EF4-D2CA-4D79-B8BC-36D78B513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F5C5B-0B88-4D32-A91E-4C6D0E666E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EC4584-D949-4BBB-B373-036B3E345E3B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SIMPLE</vt:lpstr>
      <vt:lpstr>ACUMULADO</vt:lpstr>
      <vt:lpstr>INGRESOS</vt:lpstr>
      <vt:lpstr>ACUMULADO!Área_de_impresión</vt:lpstr>
      <vt:lpstr>SIMPLE!Área_de_impresión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Leonel Rivera Solano</cp:lastModifiedBy>
  <cp:lastPrinted>2020-08-12T21:56:29Z</cp:lastPrinted>
  <dcterms:created xsi:type="dcterms:W3CDTF">1996-11-27T10:00:04Z</dcterms:created>
  <dcterms:modified xsi:type="dcterms:W3CDTF">2025-08-21T16:34:49Z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